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.Holzer\Desktop\"/>
    </mc:Choice>
  </mc:AlternateContent>
  <workbookProtection workbookPassword="D36F" lockStructure="1"/>
  <bookViews>
    <workbookView xWindow="0" yWindow="0" windowWidth="28800" windowHeight="11325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Languages!$A$1:$E$256</definedName>
    <definedName name="_xlnm.Print_Area" localSheetId="0">'Order form'!$A$1:$AK$114</definedName>
    <definedName name="Langsel">'Order form'!$G$2</definedName>
    <definedName name="Nein">'Order form'!$Q$81</definedName>
  </definedNames>
  <calcPr calcId="152511"/>
</workbook>
</file>

<file path=xl/calcChain.xml><?xml version="1.0" encoding="utf-8"?>
<calcChain xmlns="http://schemas.openxmlformats.org/spreadsheetml/2006/main">
  <c r="AM93" i="1" l="1"/>
  <c r="AM92" i="1"/>
  <c r="AM91" i="1"/>
  <c r="AM90" i="1"/>
  <c r="AB27" i="1"/>
  <c r="AB26" i="1"/>
  <c r="A216" i="11"/>
  <c r="H9" i="13" l="1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8" i="13"/>
  <c r="AE2" i="1" l="1"/>
  <c r="A162" i="11"/>
  <c r="D76" i="13" l="1"/>
  <c r="D62" i="13"/>
  <c r="D64" i="13"/>
  <c r="D63" i="13"/>
  <c r="D61" i="13"/>
  <c r="D11" i="13"/>
  <c r="D16" i="13"/>
  <c r="D13" i="13"/>
  <c r="D14" i="13"/>
  <c r="D15" i="13"/>
  <c r="D12" i="13"/>
  <c r="I16" i="13" l="1"/>
  <c r="I15" i="13"/>
  <c r="I14" i="13"/>
  <c r="I13" i="13"/>
  <c r="I12" i="13"/>
  <c r="I11" i="13"/>
  <c r="D17" i="13" l="1"/>
  <c r="D31" i="13" l="1"/>
  <c r="I31" i="13" s="1"/>
  <c r="D35" i="13"/>
  <c r="D24" i="13"/>
  <c r="I24" i="13" s="1"/>
  <c r="D23" i="13"/>
  <c r="I23" i="13" s="1"/>
  <c r="I26" i="13"/>
  <c r="I25" i="13"/>
  <c r="D78" i="13" l="1"/>
  <c r="D71" i="13"/>
  <c r="Q58" i="1" l="1"/>
  <c r="D9" i="13"/>
  <c r="I9" i="13" s="1"/>
  <c r="A212" i="11"/>
  <c r="A226" i="11"/>
  <c r="AD91" i="1" l="1"/>
  <c r="A248" i="11"/>
  <c r="A182" i="11"/>
  <c r="A183" i="11"/>
  <c r="A158" i="11"/>
  <c r="A165" i="11"/>
  <c r="A201" i="11"/>
  <c r="A215" i="11"/>
  <c r="A166" i="11"/>
  <c r="A179" i="11"/>
  <c r="A164" i="11"/>
  <c r="A180" i="11"/>
  <c r="A213" i="11"/>
  <c r="A170" i="11"/>
  <c r="A154" i="11"/>
  <c r="A204" i="11"/>
  <c r="A157" i="11"/>
  <c r="A159" i="11"/>
  <c r="A199" i="11"/>
  <c r="A200" i="11"/>
  <c r="A184" i="11"/>
  <c r="A247" i="11"/>
  <c r="A169" i="11"/>
  <c r="A258" i="11"/>
  <c r="A235" i="11"/>
  <c r="A214" i="11"/>
  <c r="A181" i="11"/>
  <c r="A198" i="11"/>
  <c r="D27" i="13" l="1"/>
  <c r="D29" i="13" s="1"/>
  <c r="A52" i="11"/>
  <c r="A68" i="11"/>
  <c r="A72" i="11"/>
  <c r="A28" i="11"/>
  <c r="A69" i="11"/>
  <c r="A260" i="11"/>
  <c r="A71" i="11"/>
  <c r="A27" i="11"/>
  <c r="A77" i="11"/>
  <c r="A257" i="11"/>
  <c r="A42" i="11"/>
  <c r="A51" i="11"/>
  <c r="A73" i="11"/>
  <c r="A44" i="11"/>
  <c r="A34" i="11"/>
  <c r="A259" i="11"/>
  <c r="A40" i="11"/>
  <c r="A39" i="11"/>
  <c r="A43" i="11"/>
  <c r="A67" i="11"/>
  <c r="A74" i="11"/>
  <c r="A75" i="11"/>
  <c r="A41" i="11"/>
  <c r="A70" i="11"/>
  <c r="D52" i="13" l="1"/>
  <c r="D8" i="13" l="1"/>
  <c r="C84" i="13" l="1"/>
  <c r="H84" i="13"/>
  <c r="G1" i="13"/>
  <c r="C4" i="13"/>
  <c r="C6" i="13"/>
  <c r="C5" i="13"/>
  <c r="C2" i="13"/>
  <c r="I78" i="13"/>
  <c r="D77" i="13"/>
  <c r="I77" i="13" s="1"/>
  <c r="I71" i="13"/>
  <c r="D70" i="13"/>
  <c r="I70" i="13" s="1"/>
  <c r="D69" i="13"/>
  <c r="I69" i="13" s="1"/>
  <c r="D68" i="13"/>
  <c r="I68" i="13" s="1"/>
  <c r="D67" i="13"/>
  <c r="I67" i="13" s="1"/>
  <c r="D66" i="13"/>
  <c r="I66" i="13" s="1"/>
  <c r="D65" i="13"/>
  <c r="I65" i="13" s="1"/>
  <c r="I63" i="13"/>
  <c r="I62" i="13"/>
  <c r="D60" i="13"/>
  <c r="I60" i="13" s="1"/>
  <c r="D59" i="13"/>
  <c r="I59" i="13" s="1"/>
  <c r="D56" i="13"/>
  <c r="I56" i="13" s="1"/>
  <c r="D55" i="13"/>
  <c r="I55" i="13" s="1"/>
  <c r="D54" i="13"/>
  <c r="I54" i="13" s="1"/>
  <c r="D53" i="13"/>
  <c r="I53" i="13" s="1"/>
  <c r="I52" i="13"/>
  <c r="D51" i="13"/>
  <c r="I51" i="13" s="1"/>
  <c r="D50" i="13"/>
  <c r="I50" i="13" s="1"/>
  <c r="D49" i="13"/>
  <c r="I49" i="13" s="1"/>
  <c r="D48" i="13"/>
  <c r="I48" i="13" s="1"/>
  <c r="D47" i="13"/>
  <c r="I47" i="13" s="1"/>
  <c r="D46" i="13"/>
  <c r="D45" i="13"/>
  <c r="I45" i="13" s="1"/>
  <c r="D44" i="13"/>
  <c r="D43" i="13"/>
  <c r="I43" i="13" s="1"/>
  <c r="D42" i="13"/>
  <c r="I42" i="13" s="1"/>
  <c r="D41" i="13"/>
  <c r="I41" i="13" s="1"/>
  <c r="D40" i="13"/>
  <c r="I40" i="13" s="1"/>
  <c r="D39" i="13"/>
  <c r="I39" i="13" s="1"/>
  <c r="D38" i="13"/>
  <c r="I38" i="13" s="1"/>
  <c r="D37" i="13"/>
  <c r="I37" i="13" s="1"/>
  <c r="D36" i="13"/>
  <c r="I36" i="13" s="1"/>
  <c r="D33" i="13"/>
  <c r="I33" i="13" s="1"/>
  <c r="D34" i="13"/>
  <c r="I34" i="13" s="1"/>
  <c r="D32" i="13"/>
  <c r="I32" i="13" s="1"/>
  <c r="D30" i="13"/>
  <c r="I30" i="13" s="1"/>
  <c r="D28" i="13"/>
  <c r="I28" i="13" s="1"/>
  <c r="I29" i="13"/>
  <c r="D22" i="13"/>
  <c r="D21" i="13"/>
  <c r="D20" i="13"/>
  <c r="D18" i="13"/>
  <c r="D58" i="13" s="1"/>
  <c r="I58" i="13" s="1"/>
  <c r="I8" i="13"/>
  <c r="I27" i="13" l="1"/>
  <c r="I64" i="13"/>
  <c r="I18" i="13"/>
  <c r="I20" i="13"/>
  <c r="I22" i="13"/>
  <c r="I44" i="13"/>
  <c r="I46" i="13"/>
  <c r="I21" i="13"/>
  <c r="D19" i="13" l="1"/>
  <c r="I19" i="13" s="1"/>
  <c r="A5" i="11"/>
  <c r="A196" i="11"/>
  <c r="A177" i="11"/>
  <c r="A4" i="11"/>
  <c r="A230" i="11"/>
  <c r="A60" i="11"/>
  <c r="A195" i="11"/>
  <c r="A191" i="11"/>
  <c r="A56" i="11"/>
  <c r="A187" i="11"/>
  <c r="A38" i="11"/>
  <c r="A55" i="11"/>
  <c r="A54" i="11"/>
  <c r="A192" i="11"/>
  <c r="A45" i="11"/>
  <c r="A176" i="11"/>
  <c r="A66" i="11"/>
  <c r="A29" i="11"/>
  <c r="A58" i="11"/>
  <c r="A62" i="11"/>
  <c r="A193" i="11"/>
  <c r="A190" i="11"/>
  <c r="A35" i="11"/>
  <c r="A188" i="11"/>
  <c r="A197" i="11"/>
  <c r="A57" i="11"/>
  <c r="A185" i="11"/>
  <c r="A174" i="11"/>
  <c r="A33" i="11"/>
  <c r="A36" i="11"/>
  <c r="A59" i="11"/>
  <c r="A186" i="11"/>
  <c r="A53" i="11"/>
  <c r="A175" i="11"/>
  <c r="A173" i="11"/>
  <c r="A37" i="11"/>
  <c r="A61" i="11"/>
  <c r="A63" i="11"/>
  <c r="A46" i="11"/>
  <c r="A222" i="11"/>
  <c r="A30" i="11"/>
  <c r="A65" i="11"/>
  <c r="A194" i="11"/>
  <c r="A31" i="11"/>
  <c r="A64" i="11"/>
  <c r="A189" i="11"/>
  <c r="A178" i="11"/>
  <c r="A32" i="11"/>
  <c r="AD93" i="1" l="1"/>
  <c r="AD92" i="1"/>
  <c r="A146" i="11"/>
  <c r="A150" i="11"/>
  <c r="A149" i="11"/>
  <c r="A148" i="11"/>
  <c r="A147" i="11"/>
  <c r="A145" i="11"/>
  <c r="A144" i="11"/>
  <c r="A151" i="11"/>
  <c r="AD90" i="1" l="1"/>
  <c r="A19" i="11"/>
  <c r="A20" i="11"/>
  <c r="A10" i="11"/>
  <c r="D57" i="13" l="1"/>
  <c r="I57" i="13" s="1"/>
  <c r="I81" i="13" s="1"/>
  <c r="I82" i="13" s="1"/>
  <c r="I83" i="13" s="1"/>
  <c r="A155" i="10"/>
  <c r="A153" i="10"/>
  <c r="A151" i="10"/>
  <c r="A149" i="10"/>
  <c r="A147" i="10"/>
  <c r="A23" i="11"/>
  <c r="A2" i="11"/>
  <c r="A131" i="11"/>
  <c r="A50" i="11"/>
  <c r="A134" i="11"/>
  <c r="A107" i="11"/>
  <c r="A254" i="11"/>
  <c r="A88" i="11"/>
  <c r="A225" i="11"/>
  <c r="A172" i="11"/>
  <c r="A9" i="11"/>
  <c r="A16" i="11"/>
  <c r="A202" i="11"/>
  <c r="A229" i="11"/>
  <c r="A142" i="11"/>
  <c r="A102" i="11"/>
  <c r="A239" i="11"/>
  <c r="A89" i="11"/>
  <c r="A96" i="11"/>
  <c r="A221" i="11"/>
  <c r="A109" i="11"/>
  <c r="A256" i="11"/>
  <c r="A209" i="11"/>
  <c r="A153" i="11"/>
  <c r="A206" i="11"/>
  <c r="A231" i="11"/>
  <c r="A84" i="11"/>
  <c r="A156" i="11"/>
  <c r="A253" i="11"/>
  <c r="A210" i="11"/>
  <c r="A47" i="11"/>
  <c r="A111" i="11"/>
  <c r="A138" i="11"/>
  <c r="A14" i="11"/>
  <c r="A167" i="11"/>
  <c r="A241" i="11"/>
  <c r="A113" i="11"/>
  <c r="A136" i="11"/>
  <c r="A6" i="11"/>
  <c r="A120" i="11"/>
  <c r="A81" i="11"/>
  <c r="A143" i="11"/>
  <c r="A211" i="11"/>
  <c r="A203" i="11"/>
  <c r="A132" i="11"/>
  <c r="A126" i="11"/>
  <c r="A87" i="11"/>
  <c r="A118" i="11"/>
  <c r="A163" i="11"/>
  <c r="A117" i="11"/>
  <c r="A141" i="11"/>
  <c r="A133" i="11"/>
  <c r="A114" i="11"/>
  <c r="A13" i="11"/>
  <c r="A139" i="11"/>
  <c r="A140" i="11"/>
  <c r="A11" i="11"/>
  <c r="A103" i="11"/>
  <c r="A127" i="11"/>
  <c r="A104" i="11"/>
  <c r="A223" i="11"/>
  <c r="A94" i="11"/>
  <c r="A152" i="11"/>
  <c r="A91" i="11"/>
  <c r="A137" i="11"/>
  <c r="A92" i="11"/>
  <c r="A86" i="11"/>
  <c r="A24" i="11"/>
  <c r="A97" i="11"/>
  <c r="A17" i="11"/>
  <c r="A129" i="11"/>
  <c r="A106" i="11"/>
  <c r="A250" i="11"/>
  <c r="A18" i="11"/>
  <c r="A124" i="11"/>
  <c r="A251" i="11"/>
  <c r="A219" i="11"/>
  <c r="A246" i="11"/>
  <c r="A121" i="11"/>
  <c r="A25" i="11"/>
  <c r="A98" i="11"/>
  <c r="A236" i="11"/>
  <c r="A85" i="11"/>
  <c r="A160" i="11"/>
  <c r="A122" i="11"/>
  <c r="A217" i="11"/>
  <c r="A83" i="11"/>
  <c r="A49" i="11"/>
  <c r="A207" i="11"/>
  <c r="A99" i="11"/>
  <c r="A26" i="11"/>
  <c r="A245" i="11"/>
  <c r="A8" i="11"/>
  <c r="A252" i="11"/>
  <c r="A130" i="11"/>
  <c r="A205" i="11"/>
  <c r="A116" i="11"/>
  <c r="A79" i="11"/>
  <c r="A115" i="11"/>
  <c r="A240" i="11"/>
  <c r="A242" i="11"/>
  <c r="A7" i="11"/>
  <c r="A161" i="11"/>
  <c r="A224" i="11"/>
  <c r="A168" i="11"/>
  <c r="A90" i="11"/>
  <c r="A255" i="11"/>
  <c r="A48" i="11"/>
  <c r="A78" i="11"/>
  <c r="A233" i="11"/>
  <c r="A100" i="11"/>
  <c r="A95" i="11"/>
  <c r="A105" i="11"/>
  <c r="A171" i="11"/>
  <c r="A208" i="11"/>
  <c r="A12" i="11"/>
  <c r="A15" i="11"/>
  <c r="A93" i="11"/>
  <c r="A243" i="11"/>
  <c r="A234" i="11"/>
  <c r="A108" i="11"/>
  <c r="A238" i="11"/>
  <c r="A110" i="11"/>
  <c r="A22" i="11"/>
  <c r="A21" i="11"/>
  <c r="A237" i="11"/>
  <c r="A249" i="11"/>
  <c r="A218" i="11"/>
  <c r="A128" i="11"/>
  <c r="A244" i="11"/>
  <c r="A232" i="11"/>
  <c r="A119" i="11"/>
  <c r="A3" i="11"/>
  <c r="A80" i="11"/>
  <c r="A123" i="11"/>
  <c r="A155" i="11"/>
  <c r="A101" i="11"/>
  <c r="A135" i="11"/>
  <c r="A112" i="11"/>
  <c r="A125" i="11"/>
  <c r="A82" i="11"/>
</calcChain>
</file>

<file path=xl/sharedStrings.xml><?xml version="1.0" encoding="utf-8"?>
<sst xmlns="http://schemas.openxmlformats.org/spreadsheetml/2006/main" count="2394" uniqueCount="1078">
  <si>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</si>
  <si>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</si>
  <si>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</si>
  <si>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</si>
  <si>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</si>
  <si>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</si>
  <si>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</si>
  <si>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</si>
  <si>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</si>
  <si>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</si>
  <si>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</si>
  <si>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</si>
  <si>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</si>
  <si>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</si>
  <si>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</si>
  <si>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</si>
  <si>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</si>
  <si>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</si>
  <si>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</si>
  <si>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</si>
  <si>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</si>
  <si>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</si>
  <si>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</si>
  <si>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</si>
  <si>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</si>
  <si>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</si>
  <si>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</si>
  <si>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</si>
  <si>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</si>
  <si>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</si>
  <si>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</si>
  <si>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</si>
  <si>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</si>
  <si>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</si>
  <si>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</si>
  <si>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</si>
  <si>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</si>
  <si>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</si>
  <si>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</si>
  <si>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</si>
  <si>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</si>
  <si>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</si>
  <si>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</si>
  <si>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</si>
  <si>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</si>
  <si>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</si>
  <si>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</si>
  <si>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</si>
  <si>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</si>
  <si>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</si>
  <si>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</si>
  <si>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</si>
  <si>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</si>
  <si>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</si>
  <si>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</si>
  <si>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</si>
  <si>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</si>
  <si>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</si>
  <si>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</si>
  <si>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</si>
  <si>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</si>
  <si>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</si>
  <si>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</si>
  <si>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</si>
  <si>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</si>
  <si>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</si>
  <si>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</si>
  <si>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</si>
  <si>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</si>
  <si>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</si>
  <si>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</si>
  <si>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</si>
  <si>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</si>
  <si>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</si>
  <si>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</si>
  <si>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</si>
  <si>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</si>
  <si>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</si>
  <si>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</si>
  <si>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</si>
  <si>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</si>
  <si>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</si>
  <si>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</si>
  <si>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</si>
  <si>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</si>
  <si>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</si>
  <si>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</si>
  <si>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</si>
  <si>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</si>
  <si>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</si>
  <si>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</si>
  <si>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</si>
  <si>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</si>
  <si>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</si>
  <si>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</si>
  <si>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</si>
  <si>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</si>
  <si>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</si>
  <si>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</si>
  <si>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</si>
  <si>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</si>
  <si>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</si>
  <si>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</si>
  <si>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</si>
  <si>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</si>
  <si>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</si>
  <si>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</si>
  <si>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</si>
  <si>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</si>
  <si>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</si>
  <si>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</si>
  <si>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</si>
  <si>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</si>
  <si>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</si>
  <si>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</si>
  <si>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</si>
  <si>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</si>
  <si>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</si>
  <si>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</si>
  <si>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</si>
  <si>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</si>
  <si>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</si>
  <si>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</si>
  <si>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</si>
  <si>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</si>
  <si>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</si>
  <si>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</si>
  <si>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</si>
  <si>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</si>
  <si>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</si>
  <si>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</si>
  <si>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</si>
  <si>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</si>
  <si>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</si>
  <si>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</si>
  <si>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</si>
  <si>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</si>
  <si>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</si>
  <si>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</si>
  <si>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</si>
  <si>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</si>
  <si>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</si>
  <si>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</si>
  <si>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</si>
  <si>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</si>
  <si>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</si>
  <si>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</si>
  <si>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</si>
  <si>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</si>
  <si>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</si>
  <si>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</si>
  <si>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</si>
  <si>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</si>
  <si>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</si>
  <si>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</si>
  <si>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</si>
  <si>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</si>
  <si>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</si>
  <si>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</si>
  <si>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</si>
  <si>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</si>
  <si>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</si>
  <si>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</si>
  <si>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</si>
  <si>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</si>
  <si>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</si>
  <si>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</si>
  <si>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</si>
  <si>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</si>
  <si>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</si>
  <si>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</si>
  <si>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</si>
  <si>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</si>
  <si>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</si>
  <si>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</si>
  <si>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</si>
  <si>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</si>
  <si>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</si>
  <si>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</si>
  <si>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</si>
  <si>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</si>
  <si>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</si>
  <si>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</si>
  <si>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</si>
  <si>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</si>
  <si>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</si>
  <si>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</si>
  <si>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</si>
  <si>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</si>
  <si>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</si>
  <si>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</si>
  <si>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</si>
  <si>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</si>
  <si>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</si>
  <si>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</si>
  <si>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</si>
  <si>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</si>
  <si>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</si>
  <si>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</si>
  <si>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</si>
  <si>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</si>
  <si>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</si>
  <si>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</si>
  <si>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</si>
  <si>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</si>
  <si>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</si>
  <si>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</si>
  <si>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</si>
  <si>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</si>
  <si>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</si>
  <si>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</si>
  <si>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</si>
  <si>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</si>
  <si>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</si>
  <si>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</si>
  <si>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</si>
  <si>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</si>
  <si>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</si>
  <si>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</si>
  <si>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</si>
  <si>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</si>
  <si>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</si>
  <si>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</si>
  <si>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</si>
  <si>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</si>
  <si>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</si>
  <si>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</si>
  <si>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</si>
  <si>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</si>
  <si>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</si>
  <si>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</si>
  <si>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</si>
  <si>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</si>
  <si>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</si>
  <si>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</si>
  <si>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</si>
  <si>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</si>
  <si>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</si>
  <si>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</si>
  <si>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</si>
  <si>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</si>
  <si>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</si>
  <si>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</si>
  <si>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</si>
  <si>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</si>
  <si>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</si>
  <si>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</si>
  <si>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</si>
  <si>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</si>
  <si>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</si>
  <si>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</si>
  <si>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</si>
  <si>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</si>
  <si>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</si>
  <si>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</si>
  <si>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</si>
  <si>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</si>
  <si>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</si>
  <si>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</si>
  <si>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</si>
  <si>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</si>
  <si>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</si>
  <si>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</si>
  <si>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</si>
  <si>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</si>
  <si>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</si>
  <si>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</si>
  <si>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</si>
  <si>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</si>
  <si>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</si>
  <si>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</si>
  <si>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</si>
  <si>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</si>
  <si>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</si>
  <si>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</si>
  <si>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</si>
  <si>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</si>
  <si>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</si>
  <si>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</si>
  <si>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</si>
  <si>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</si>
  <si>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</si>
  <si>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</si>
  <si>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</si>
  <si>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</si>
  <si>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</si>
  <si>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</si>
  <si>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</si>
  <si>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</si>
  <si>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</si>
  <si>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</si>
  <si>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</si>
  <si>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</si>
  <si>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</si>
  <si>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</si>
  <si>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</si>
  <si>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</si>
  <si>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</si>
  <si>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</si>
  <si>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</si>
  <si>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</si>
  <si>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</si>
  <si>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</si>
  <si>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</si>
  <si>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</si>
  <si>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</si>
  <si>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</si>
  <si>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</si>
  <si>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</si>
  <si>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</si>
  <si>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</si>
  <si>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</si>
  <si>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</si>
  <si>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</si>
  <si>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</si>
  <si>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</si>
  <si>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</si>
  <si>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</si>
  <si>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</si>
  <si>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</si>
  <si>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</si>
  <si>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</si>
  <si>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</si>
  <si>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</si>
  <si>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</si>
  <si>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</si>
  <si>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</si>
  <si>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</si>
  <si>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</si>
  <si>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</si>
  <si>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</si>
  <si>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</si>
  <si>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</si>
  <si>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</si>
  <si>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</si>
  <si>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</si>
  <si>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</si>
  <si>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</si>
  <si>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</si>
  <si>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</si>
  <si>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</si>
  <si>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</si>
  <si>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</si>
  <si>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</si>
  <si>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</si>
  <si>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</si>
  <si>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</si>
  <si>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</si>
  <si>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</si>
  <si>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</si>
  <si>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</si>
  <si>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</si>
  <si>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</si>
  <si>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</si>
  <si>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</si>
  <si>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</si>
  <si>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</si>
  <si>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</si>
  <si>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</si>
  <si>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</si>
  <si>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</si>
  <si>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</si>
  <si>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</si>
  <si>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</si>
  <si>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</si>
  <si>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</si>
  <si>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</si>
  <si>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</si>
  <si>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</si>
  <si>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</si>
  <si>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</si>
  <si>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</si>
  <si>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</si>
  <si>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</si>
  <si>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</si>
  <si>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</si>
  <si>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</si>
  <si>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</si>
  <si>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</si>
  <si>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</si>
  <si>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</si>
  <si>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</si>
  <si>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</si>
  <si>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</si>
  <si>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</si>
  <si>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</si>
  <si>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</si>
  <si>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</si>
  <si>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</si>
  <si>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</si>
  <si>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</si>
  <si>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</si>
  <si>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</si>
  <si>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</si>
  <si>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</si>
  <si>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</si>
  <si>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</si>
  <si>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</si>
  <si>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</si>
  <si>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</si>
  <si>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</si>
  <si>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</si>
  <si>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</si>
  <si>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</si>
  <si>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</si>
  <si>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</si>
  <si>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</si>
  <si>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</si>
  <si>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</si>
  <si>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</si>
  <si>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</si>
  <si>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</si>
  <si>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</si>
  <si>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</si>
  <si>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</si>
  <si>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</si>
  <si>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</si>
  <si>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</si>
  <si>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</si>
  <si>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</si>
  <si>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</si>
  <si>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</si>
  <si>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</si>
  <si>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</si>
  <si>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</si>
  <si>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</si>
  <si>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</si>
  <si>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</si>
  <si>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</si>
  <si>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</si>
  <si>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</si>
  <si>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</si>
  <si>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</si>
  <si>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</si>
  <si>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</si>
  <si>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</si>
  <si>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</si>
  <si>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</si>
  <si>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</si>
  <si>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</si>
  <si>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</si>
  <si>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</si>
  <si>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</si>
  <si>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</si>
  <si>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</si>
  <si>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</si>
  <si>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</si>
  <si>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</si>
  <si>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</si>
  <si>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</si>
  <si>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</si>
  <si>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</si>
  <si>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</si>
  <si>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</si>
  <si>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</si>
  <si>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</si>
  <si>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</si>
  <si>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</si>
  <si>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</si>
  <si>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</si>
  <si>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</si>
  <si>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</si>
  <si>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</si>
  <si>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</si>
  <si>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</si>
  <si>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</si>
  <si>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</si>
  <si>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</si>
  <si>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</si>
  <si>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</si>
  <si>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</si>
  <si>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</si>
  <si>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</si>
  <si>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</si>
  <si>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</si>
  <si>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</si>
  <si>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</si>
  <si>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</si>
  <si>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</si>
  <si>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</si>
  <si>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</si>
  <si>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</si>
  <si>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</si>
  <si>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</si>
  <si>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</si>
  <si>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</si>
  <si>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</si>
  <si>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</si>
  <si>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</si>
  <si>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</si>
  <si>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</si>
  <si>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</si>
  <si>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</si>
  <si>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</si>
  <si>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</si>
  <si>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</si>
  <si>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</si>
  <si>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</si>
  <si>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</si>
  <si>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</si>
  <si>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</si>
  <si>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</si>
  <si>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</si>
  <si>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</si>
  <si>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</si>
  <si>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</si>
  <si>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</si>
  <si>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</si>
  <si>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</si>
  <si>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</si>
  <si>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</si>
  <si>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</si>
  <si>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</si>
  <si>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</si>
  <si>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</si>
  <si>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</si>
  <si>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</si>
  <si>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</si>
  <si>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</si>
  <si>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</si>
  <si>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</si>
  <si>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</si>
  <si>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</si>
  <si>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</si>
  <si>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</si>
  <si>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</si>
  <si>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</si>
  <si>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</si>
  <si>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</si>
  <si>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</si>
  <si>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</si>
  <si>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</si>
  <si>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</si>
  <si>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</si>
  <si>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</si>
  <si>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</si>
  <si>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</si>
  <si>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</si>
  <si>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</si>
  <si>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</si>
  <si>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</si>
  <si>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</si>
  <si>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</si>
  <si>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</si>
  <si>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</si>
  <si>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</si>
  <si>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</si>
  <si>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</si>
  <si>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</si>
  <si>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</si>
  <si>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</si>
  <si>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</si>
  <si>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</si>
  <si>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</si>
  <si>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</si>
  <si>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</si>
  <si>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</si>
  <si>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</si>
  <si>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</si>
  <si>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</si>
  <si>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</si>
  <si>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</si>
  <si>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</si>
  <si>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</si>
  <si>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</si>
  <si>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</si>
  <si>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</si>
  <si>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</si>
  <si>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</si>
  <si>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</si>
  <si>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</si>
  <si>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</si>
  <si>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</si>
  <si>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</si>
  <si>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</si>
  <si>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</si>
  <si>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</si>
  <si>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</si>
  <si>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</si>
  <si>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</si>
  <si>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</si>
  <si>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</si>
  <si>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</si>
  <si>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</si>
  <si>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</si>
  <si>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</si>
  <si>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</si>
  <si>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</si>
  <si>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</si>
  <si>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</si>
  <si>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</si>
  <si>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</si>
  <si>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</si>
  <si>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</si>
  <si>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</si>
  <si>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</si>
  <si>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</si>
  <si>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</si>
  <si>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</si>
  <si>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</si>
  <si>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</si>
  <si>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</si>
  <si>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</si>
  <si>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</si>
  <si>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</si>
  <si>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</si>
  <si>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</si>
  <si>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</si>
  <si>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</si>
  <si>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</si>
  <si>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</si>
  <si>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</si>
  <si>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</si>
  <si>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</si>
  <si>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</si>
  <si>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</si>
  <si>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</si>
  <si>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</si>
  <si>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</si>
  <si>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</si>
  <si>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</si>
  <si>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</si>
  <si>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</si>
  <si>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</si>
  <si>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</si>
  <si>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</si>
  <si>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</si>
  <si>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</si>
  <si>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</si>
  <si>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</si>
  <si>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</si>
  <si>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</si>
  <si>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</si>
  <si>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</si>
  <si>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</si>
  <si>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</si>
  <si>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</si>
  <si>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</si>
  <si>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</si>
  <si>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</si>
  <si>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</si>
  <si>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</si>
  <si>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</si>
  <si>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</si>
  <si>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</si>
  <si>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</si>
  <si>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</si>
  <si>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</si>
  <si>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</si>
  <si>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</si>
  <si>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</si>
  <si>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</si>
  <si>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</si>
  <si>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</si>
  <si>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</si>
  <si>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</si>
  <si>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</si>
  <si>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</si>
  <si>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</si>
  <si>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</si>
  <si>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</si>
  <si>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</si>
  <si>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</si>
  <si>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</si>
  <si>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</si>
  <si>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</si>
  <si>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</si>
  <si>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</si>
  <si>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</si>
  <si>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</si>
  <si>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</si>
  <si>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</si>
  <si>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</si>
  <si>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</si>
  <si>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</si>
  <si>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</si>
  <si>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</si>
  <si>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</si>
  <si>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</si>
  <si>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</si>
  <si>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</si>
  <si>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</si>
  <si>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</si>
  <si>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</si>
  <si>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</si>
  <si>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</si>
  <si>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</si>
  <si>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</si>
  <si>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</si>
  <si>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</si>
  <si>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</si>
  <si>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</si>
  <si>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</si>
  <si>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</si>
  <si>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</si>
  <si>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</si>
  <si>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</si>
  <si>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</si>
  <si>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</si>
  <si>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</si>
  <si>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</si>
  <si>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</si>
  <si>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</si>
  <si>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</si>
  <si>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</si>
  <si>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</si>
  <si>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</si>
  <si>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</si>
  <si>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</si>
  <si>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</si>
  <si>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</si>
  <si>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</si>
  <si>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</si>
  <si>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</si>
  <si>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</si>
  <si>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</si>
  <si>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</si>
  <si>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</si>
  <si>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</si>
  <si>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</si>
  <si>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</si>
  <si>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</si>
  <si>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</si>
  <si>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</si>
  <si>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</si>
  <si>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</si>
  <si>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</si>
  <si>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</si>
  <si>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</si>
  <si>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</si>
  <si>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</si>
  <si>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</si>
  <si>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</si>
  <si>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</si>
  <si>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</si>
  <si>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</si>
  <si>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</si>
  <si>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</si>
  <si>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</si>
  <si>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</si>
  <si>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</si>
  <si>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</si>
  <si>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</si>
  <si>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</si>
  <si>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</si>
  <si>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</si>
  <si>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</si>
  <si>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</si>
  <si>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</si>
  <si>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</si>
  <si>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</si>
  <si>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</si>
  <si>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</si>
  <si>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</si>
  <si>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</si>
  <si>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</si>
  <si>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</si>
  <si>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</si>
  <si>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</si>
  <si>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</si>
  <si>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</si>
  <si>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</si>
  <si>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</si>
  <si>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</si>
  <si>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</si>
  <si>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</si>
  <si>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</si>
  <si>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</si>
  <si>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</si>
  <si>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</si>
  <si>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</si>
  <si>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</si>
  <si>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</si>
  <si>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</si>
  <si>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</si>
  <si>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</si>
  <si>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</si>
  <si>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</si>
  <si>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</si>
  <si>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</si>
  <si>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</si>
  <si>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</si>
  <si>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</si>
  <si>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</si>
  <si>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</si>
  <si>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</si>
  <si>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</si>
  <si>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</si>
  <si>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</si>
  <si>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</si>
  <si>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</si>
  <si>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</si>
  <si>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</si>
  <si>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</si>
  <si>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</si>
  <si>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</si>
  <si>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</si>
  <si>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</si>
  <si>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</si>
  <si>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</si>
  <si>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</si>
  <si>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</si>
  <si>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</si>
  <si>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</si>
  <si>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</si>
  <si>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</si>
  <si>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</si>
  <si>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</si>
  <si>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</si>
  <si>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</si>
  <si>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</si>
  <si>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</si>
  <si>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</si>
  <si>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</si>
  <si>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</si>
  <si>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</si>
  <si>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</si>
  <si>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</si>
  <si>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</si>
  <si>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</si>
  <si>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</si>
  <si>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</si>
  <si>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</si>
  <si>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</si>
  <si>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</si>
  <si>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</si>
  <si>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</si>
  <si>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</si>
  <si>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</si>
  <si>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</si>
  <si>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</si>
  <si>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</si>
  <si>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</si>
  <si>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</si>
  <si>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</si>
  <si>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</si>
  <si>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</si>
  <si>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</si>
  <si>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</si>
  <si>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</si>
  <si>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</si>
  <si>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</si>
  <si>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</si>
  <si>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</si>
  <si>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</si>
  <si>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</si>
  <si>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</si>
  <si>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</si>
  <si>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</si>
  <si>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</si>
  <si>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</si>
  <si>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</si>
  <si>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</si>
  <si>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</si>
  <si>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</si>
  <si>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</si>
  <si>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</si>
  <si>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</si>
  <si>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</si>
  <si>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</si>
  <si>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</si>
  <si>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</si>
  <si>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</si>
  <si>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</si>
  <si>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</si>
  <si>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</si>
  <si>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</si>
  <si>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</si>
  <si>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</si>
  <si>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</si>
  <si>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</si>
  <si>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</si>
  <si>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</si>
  <si>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</si>
  <si>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</si>
  <si>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</si>
  <si>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</si>
  <si>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</si>
  <si>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</si>
  <si>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</si>
  <si>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</si>
  <si>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</si>
  <si>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</si>
  <si>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</si>
  <si>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</si>
  <si>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</si>
  <si>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</si>
  <si>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</si>
  <si>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</si>
  <si>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</si>
  <si>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</si>
  <si>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</si>
  <si>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</si>
  <si>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</si>
  <si>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</si>
  <si>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</si>
  <si>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</si>
  <si>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</si>
  <si>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</si>
  <si>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</si>
  <si>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</si>
  <si>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</si>
  <si>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</si>
  <si>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</si>
  <si>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</si>
  <si>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</si>
  <si>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</si>
  <si>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</si>
  <si>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</si>
  <si>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</si>
  <si>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</si>
  <si>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</si>
  <si>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</si>
  <si>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</si>
  <si>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</si>
  <si>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</si>
  <si>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Rail additional to the 3m in basic price</t>
  </si>
  <si>
    <t>Lehner Lifttechnik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</si>
  <si>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</si>
  <si>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</si>
  <si>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</si>
  <si>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Plastik Abdeckung für Außenanlage</t>
  </si>
  <si>
    <t>Schloss für manuelle Plattform</t>
  </si>
  <si>
    <t>Schlüssel abziehbar in On-Position</t>
  </si>
  <si>
    <t>Anzahl an vertikalen Knicken</t>
  </si>
  <si>
    <t>Gleiche Farbe wie Plattform</t>
  </si>
  <si>
    <t>200mm (Standard)</t>
  </si>
  <si>
    <t>Großer Taster (Spezial)</t>
  </si>
  <si>
    <t>300mm (Spezial)</t>
  </si>
  <si>
    <t>Stainless 316 (special)</t>
  </si>
  <si>
    <t>Edelstahl 316 (special)</t>
  </si>
  <si>
    <t>Acier inoxydable 316 (special)</t>
  </si>
  <si>
    <t>Inoxidable 316 (especial)</t>
  </si>
  <si>
    <t>Straight rail</t>
  </si>
  <si>
    <t>Non-straight rail (with curves or bends)</t>
  </si>
  <si>
    <t>Rail type</t>
  </si>
  <si>
    <t>Schienenart</t>
  </si>
  <si>
    <t>Type de rail</t>
  </si>
  <si>
    <t>Tipo de guía</t>
  </si>
  <si>
    <t>Rail with curves</t>
  </si>
  <si>
    <t>Gerade Schiene</t>
  </si>
  <si>
    <t>Schiene mit Kurven</t>
  </si>
  <si>
    <t>Rail droit</t>
  </si>
  <si>
    <t>Rail avec courbes</t>
  </si>
  <si>
    <t>Guía con curvas</t>
  </si>
  <si>
    <t>Guía recta</t>
  </si>
  <si>
    <t>Número de curvas negativas</t>
  </si>
  <si>
    <t>Nombre de courbes négatives</t>
  </si>
  <si>
    <t>Motor Specification</t>
  </si>
  <si>
    <t>Motorspezifikationen</t>
  </si>
  <si>
    <t>Spécification de motor</t>
  </si>
  <si>
    <t>Especificación del motor</t>
  </si>
  <si>
    <t>Power supply</t>
  </si>
  <si>
    <t>Frequent use</t>
  </si>
  <si>
    <t>UPS - battery backup (max 1,1kW)</t>
  </si>
  <si>
    <t>Type of drive</t>
  </si>
  <si>
    <t>Big drive box</t>
  </si>
  <si>
    <t>Alimentation électrique</t>
  </si>
  <si>
    <t>Utilisation fréquente</t>
  </si>
  <si>
    <t>UPS - batterie de secours (max 1,1kW)</t>
  </si>
  <si>
    <t>Grande boîte d'entraînement</t>
  </si>
  <si>
    <t>Suministro de energía</t>
  </si>
  <si>
    <t>Uso frecuente</t>
  </si>
  <si>
    <t>UPS - batería de respaldo (máx. 1,1kW)</t>
  </si>
  <si>
    <t>Caja de motor grande</t>
  </si>
  <si>
    <t>Tipo de motor</t>
  </si>
  <si>
    <t>Type de motor</t>
  </si>
  <si>
    <t>Spannungsversorgung</t>
  </si>
  <si>
    <t>Häufige Nutzung</t>
  </si>
  <si>
    <t>USV - Batterie-Backup (max. 1,1kW)</t>
  </si>
  <si>
    <t>Antriebsart</t>
  </si>
  <si>
    <t>Große Antriebsbox</t>
  </si>
  <si>
    <t>3 x 400V</t>
  </si>
  <si>
    <t>2.2 kW (with big box)</t>
  </si>
  <si>
    <t>1.5kW old standard drive</t>
  </si>
  <si>
    <t>automóvil</t>
  </si>
  <si>
    <t>1.1kW moteur dans une grande boîte</t>
  </si>
  <si>
    <t>2.2 kW (mit großer Box)</t>
  </si>
  <si>
    <t>2.2 kW (avec grand boîtier)</t>
  </si>
  <si>
    <t>Accionamiento de 1.1 kW en caja grande</t>
  </si>
  <si>
    <t>2.2 kW (con caja grande)</t>
  </si>
  <si>
    <t>Cubierta de plástico para motor al aire libre</t>
  </si>
  <si>
    <t>Housse plastique pour moteur extérieur</t>
  </si>
  <si>
    <t>Plastic cover for outdoor compact motor</t>
  </si>
  <si>
    <t>Plastik Abdeckung für Kompaktmotor</t>
  </si>
  <si>
    <t>Safety pipe</t>
  </si>
  <si>
    <t>Reinforced upper rail pipe</t>
  </si>
  <si>
    <t>Sicherheitsrohr</t>
  </si>
  <si>
    <t>Verstärktes oberes Schienenrohr</t>
  </si>
  <si>
    <t>Tuyau de sécurité</t>
  </si>
  <si>
    <t>Tube de rail supérieur renforcé</t>
  </si>
  <si>
    <t>Tubo de seguridad</t>
  </si>
  <si>
    <t>Tubo de cable</t>
  </si>
  <si>
    <t>Tubo reforzado del riel superior</t>
  </si>
  <si>
    <t>Old overspeed governor</t>
  </si>
  <si>
    <t>Special brushes for upper trolley</t>
  </si>
  <si>
    <t>Alter Geschwindigkeitsbegrenzer</t>
  </si>
  <si>
    <t>Zeichnungszeit Dringlichkeit in Tagen</t>
  </si>
  <si>
    <t>Spezialbürsten für oberes Fahrwerk</t>
  </si>
  <si>
    <t>Ancien limiteur de vitesse</t>
  </si>
  <si>
    <t>Brosses spéciales pour chariot supérieur</t>
  </si>
  <si>
    <t>Antiguo limitador de velocidad</t>
  </si>
  <si>
    <t>Cepillos especiales para el carro superior</t>
  </si>
  <si>
    <t>Urgence du design en jours</t>
  </si>
  <si>
    <t>Urgencia de dibujo en días</t>
  </si>
  <si>
    <t>Drive</t>
  </si>
  <si>
    <t>Antrieb</t>
  </si>
  <si>
    <t xml:space="preserve">Entraînement  </t>
  </si>
  <si>
    <t>Accionamiento</t>
  </si>
  <si>
    <t>Distance between pillars &gt; 0,6m</t>
  </si>
  <si>
    <t>Distanz zwischen den Stützen &gt; 0,6m</t>
  </si>
  <si>
    <t>Distancia entre pilares &gt; 0,6m</t>
  </si>
  <si>
    <t>Distance entre les supports &gt; 0,6m</t>
  </si>
  <si>
    <t>1.1kW compact drive with controls in extra box (outdoor standard)</t>
  </si>
  <si>
    <t>1.1kW Kompaktantrieb mit Steuerung in extra Box (Standard Außenanlage)</t>
  </si>
  <si>
    <t>Entraînement compact de 1.1 kW avec électronique séparée (standard extérieur)</t>
  </si>
  <si>
    <t>OMEGA STAIRLIFT</t>
  </si>
  <si>
    <t>OMEGA MONTE-ESCALIER</t>
  </si>
  <si>
    <t>OMEGA SALVAESCALERAS</t>
  </si>
  <si>
    <t>1.1 kW compact drive including controls (indoor standard)</t>
  </si>
  <si>
    <t>1.1 kW Kompaktantrieb inklusive Steuerung (Standard Innenanlage)</t>
  </si>
  <si>
    <t>Entraînement compact de 1.1 kW avec commandes (standard intérieur)</t>
  </si>
  <si>
    <t>=IF(Q22="outdoor","Please remember to choose surface treatment for outdoor", "")</t>
  </si>
  <si>
    <t>Zinc (outdoor standard)</t>
  </si>
  <si>
    <t>Verzinkt (Außenanlage Standard)</t>
  </si>
  <si>
    <t>Galvanisé (standard extérieure)</t>
  </si>
  <si>
    <t>Zinc  (estándar para exteriores)</t>
  </si>
  <si>
    <t>Galvanisé (extérieure)</t>
  </si>
  <si>
    <t>Zinc (estándar para exteriores)</t>
  </si>
  <si>
    <t>Final price, VAT excl.:</t>
  </si>
  <si>
    <t>Stainless 304 + Special RAL</t>
  </si>
  <si>
    <t>Edelstahl 304 + Special RAL</t>
  </si>
  <si>
    <t>Acier inoxydable 304 + Special RAL</t>
  </si>
  <si>
    <t>Inoxidable 304 + Special RAL</t>
  </si>
  <si>
    <t>Stainless 316 + Special RAL</t>
  </si>
  <si>
    <t>Edelstahl 316 + Special RAL</t>
  </si>
  <si>
    <t>Acier inoxydable 316 + Special RAL</t>
  </si>
  <si>
    <t>Inoxidable 316 + Special RAL</t>
  </si>
  <si>
    <t>1.1kW compact drive in big box</t>
  </si>
  <si>
    <t>1.1kW Kompaktantrieb in großer Box</t>
  </si>
  <si>
    <t>OMEGA.LE.2019.A</t>
  </si>
  <si>
    <t>Safety pipe - straight rail</t>
  </si>
  <si>
    <t>Safety pipe - non-straight rail</t>
  </si>
  <si>
    <t>Cable pipe - straight rail</t>
  </si>
  <si>
    <t xml:space="preserve">Cable pipe - non-straight rail </t>
  </si>
  <si>
    <t>Reinforced upper rail pipe (load &gt; 300 kg or distance btw. pillars &gt; 0.6m)</t>
  </si>
  <si>
    <t>Negative curve (each 90° or 3 m)</t>
  </si>
  <si>
    <t>Drive for F</t>
  </si>
  <si>
    <t>1.1 kW compact drive including controls</t>
  </si>
  <si>
    <t>1.1kW compact drive with controls in extra box</t>
  </si>
  <si>
    <t>Drive box</t>
  </si>
  <si>
    <t>UPS battery backup</t>
  </si>
  <si>
    <t>E-Sentinel 6; 3000VA (up to 0,75kW; 1x230V)</t>
  </si>
  <si>
    <t>Fire zinc rail (outdoor installation)</t>
  </si>
  <si>
    <t>Zinc spraying of drive (outdoor installation)</t>
  </si>
  <si>
    <t>Rope tensioner</t>
  </si>
  <si>
    <t>SP-OMEGA-F</t>
  </si>
  <si>
    <t>Seilspanner</t>
  </si>
  <si>
    <t>Dispositivo para tensionar la cadena</t>
  </si>
  <si>
    <t>Tendeur de corde</t>
  </si>
  <si>
    <t>Accionamiento compacto de 1.1 kW con mandos en caja adicional (exterior)</t>
  </si>
  <si>
    <t>Accionamiento compacto de 1.1 kW incluidos los controles (interior)</t>
  </si>
  <si>
    <t>OMEGA PLATTFORMLIFT</t>
  </si>
  <si>
    <t>OMEGA-F20190812EN</t>
  </si>
  <si>
    <t>1 x 230V(standard)</t>
  </si>
  <si>
    <t>Installation pipe</t>
  </si>
  <si>
    <t>Installationsrohr</t>
  </si>
  <si>
    <t>tube d'installation</t>
  </si>
  <si>
    <t>Verzinkt  (Außenanlage Standard)</t>
  </si>
  <si>
    <t>Automatic</t>
  </si>
  <si>
    <t xml:space="preserve">Automatisch </t>
  </si>
  <si>
    <t xml:space="preserve">Automatiquement </t>
  </si>
  <si>
    <t xml:space="preserve">Automático </t>
  </si>
  <si>
    <t>Sicherheitsglas</t>
  </si>
  <si>
    <t>Lochblech</t>
  </si>
  <si>
    <t>Holz</t>
  </si>
  <si>
    <t>Edelstahlstreben</t>
  </si>
  <si>
    <t>Stahlstreben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</si>
</sst>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2" fillId="0" borderId="0"/>
    <xf numFmtId="0" fontId="31" fillId="0" borderId="0"/>
    <xf numFmtId="0" fontId="64" fillId="0" borderId="0" applyNumberFormat="0" applyFill="0" applyBorder="0" applyAlignment="0" applyProtection="0"/>
    <xf numFmtId="0" fontId="68" fillId="0" borderId="0"/>
  </cellStyleXfs>
  <cellXfs count="373">
    <xf numFmtId="0" fontId="0" fillId="0" borderId="0" xfId="0"/>
    <xf numFmtId="1" fontId="36" fillId="3" borderId="3" xfId="0" applyNumberFormat="1" applyFont="1" applyFill="1" applyBorder="1" applyAlignment="1" applyProtection="1">
      <alignment vertical="center"/>
      <protection locked="0"/>
    </xf>
    <xf numFmtId="1" fontId="36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45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31" fillId="0" borderId="0" xfId="2"/>
    <xf numFmtId="49" fontId="31" fillId="0" borderId="0" xfId="2" applyNumberFormat="1"/>
    <xf numFmtId="0" fontId="0" fillId="0" borderId="0" xfId="2" applyFont="1"/>
    <xf numFmtId="49" fontId="36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9" fillId="11" borderId="0" xfId="0" applyFont="1" applyFill="1" applyAlignment="1" applyProtection="1">
      <alignment vertical="center"/>
      <protection hidden="1"/>
    </xf>
    <xf numFmtId="0" fontId="50" fillId="11" borderId="0" xfId="0" applyFont="1" applyFill="1" applyAlignment="1">
      <alignment vertical="center"/>
    </xf>
    <xf numFmtId="0" fontId="51" fillId="11" borderId="0" xfId="0" applyFont="1" applyFill="1" applyAlignment="1">
      <alignment vertical="center"/>
    </xf>
    <xf numFmtId="0" fontId="49" fillId="3" borderId="7" xfId="0" applyFont="1" applyFill="1" applyBorder="1" applyAlignment="1" applyProtection="1">
      <alignment vertical="center"/>
      <protection hidden="1"/>
    </xf>
    <xf numFmtId="0" fontId="50" fillId="3" borderId="8" xfId="0" applyFont="1" applyFill="1" applyBorder="1" applyAlignment="1">
      <alignment vertical="center"/>
    </xf>
    <xf numFmtId="0" fontId="50" fillId="3" borderId="13" xfId="0" applyFont="1" applyFill="1" applyBorder="1" applyAlignment="1">
      <alignment vertical="center"/>
    </xf>
    <xf numFmtId="0" fontId="49" fillId="3" borderId="9" xfId="0" applyFont="1" applyFill="1" applyBorder="1" applyAlignment="1" applyProtection="1">
      <alignment vertical="center"/>
      <protection hidden="1"/>
    </xf>
    <xf numFmtId="0" fontId="50" fillId="3" borderId="0" xfId="0" applyFont="1" applyFill="1" applyAlignment="1">
      <alignment vertical="center"/>
    </xf>
    <xf numFmtId="0" fontId="50" fillId="3" borderId="12" xfId="0" applyFont="1" applyFill="1" applyBorder="1" applyAlignment="1">
      <alignment vertical="center"/>
    </xf>
    <xf numFmtId="0" fontId="50" fillId="3" borderId="0" xfId="0" applyFont="1" applyFill="1" applyAlignment="1">
      <alignment horizontal="left" vertical="center"/>
    </xf>
    <xf numFmtId="0" fontId="50" fillId="3" borderId="0" xfId="0" applyFont="1" applyFill="1" applyAlignment="1">
      <alignment vertical="center" wrapText="1"/>
    </xf>
    <xf numFmtId="0" fontId="49" fillId="3" borderId="7" xfId="0" applyFont="1" applyFill="1" applyBorder="1" applyAlignment="1">
      <alignment vertical="center"/>
    </xf>
    <xf numFmtId="0" fontId="49" fillId="3" borderId="8" xfId="0" applyFont="1" applyFill="1" applyBorder="1" applyAlignment="1">
      <alignment vertical="center"/>
    </xf>
    <xf numFmtId="0" fontId="50" fillId="3" borderId="8" xfId="0" applyFont="1" applyFill="1" applyBorder="1" applyAlignment="1">
      <alignment horizontal="left" vertical="center"/>
    </xf>
    <xf numFmtId="0" fontId="50" fillId="3" borderId="8" xfId="0" applyFont="1" applyFill="1" applyBorder="1" applyAlignment="1">
      <alignment vertical="center" wrapText="1"/>
    </xf>
    <xf numFmtId="0" fontId="49" fillId="3" borderId="9" xfId="0" applyFont="1" applyFill="1" applyBorder="1" applyAlignment="1">
      <alignment vertical="center"/>
    </xf>
    <xf numFmtId="0" fontId="49" fillId="3" borderId="0" xfId="0" applyFont="1" applyFill="1" applyAlignment="1">
      <alignment vertical="center"/>
    </xf>
    <xf numFmtId="0" fontId="50" fillId="3" borderId="9" xfId="0" applyFont="1" applyFill="1" applyBorder="1" applyAlignment="1">
      <alignment vertical="center"/>
    </xf>
    <xf numFmtId="0" fontId="50" fillId="3" borderId="11" xfId="0" applyFont="1" applyFill="1" applyBorder="1" applyAlignment="1">
      <alignment vertical="center"/>
    </xf>
    <xf numFmtId="0" fontId="51" fillId="3" borderId="0" xfId="0" applyFont="1" applyFill="1" applyAlignment="1">
      <alignment vertical="center"/>
    </xf>
    <xf numFmtId="0" fontId="51" fillId="3" borderId="12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left" vertical="top" wrapText="1"/>
    </xf>
    <xf numFmtId="0" fontId="50" fillId="3" borderId="25" xfId="0" applyFont="1" applyFill="1" applyBorder="1" applyAlignment="1">
      <alignment vertical="center"/>
    </xf>
    <xf numFmtId="0" fontId="49" fillId="3" borderId="10" xfId="0" applyFont="1" applyFill="1" applyBorder="1" applyAlignment="1" applyProtection="1">
      <alignment vertical="center"/>
      <protection hidden="1"/>
    </xf>
    <xf numFmtId="0" fontId="58" fillId="3" borderId="0" xfId="0" applyFont="1" applyFill="1" applyAlignment="1">
      <alignment vertical="center"/>
    </xf>
    <xf numFmtId="0" fontId="0" fillId="6" borderId="0" xfId="0" applyFill="1"/>
    <xf numFmtId="49" fontId="30" fillId="0" borderId="0" xfId="2" applyNumberFormat="1" applyFont="1"/>
    <xf numFmtId="49" fontId="29" fillId="0" borderId="0" xfId="2" applyNumberFormat="1" applyFont="1"/>
    <xf numFmtId="0" fontId="28" fillId="0" borderId="0" xfId="2" applyFont="1"/>
    <xf numFmtId="49" fontId="28" fillId="0" borderId="0" xfId="2" applyNumberFormat="1" applyFont="1"/>
    <xf numFmtId="0" fontId="51" fillId="3" borderId="27" xfId="0" applyFont="1" applyFill="1" applyBorder="1" applyAlignment="1" applyProtection="1">
      <alignment vertical="center"/>
      <protection locked="0"/>
    </xf>
    <xf numFmtId="0" fontId="51" fillId="3" borderId="32" xfId="0" applyFont="1" applyFill="1" applyBorder="1" applyAlignment="1">
      <alignment horizontal="center" vertical="center"/>
    </xf>
    <xf numFmtId="0" fontId="51" fillId="3" borderId="32" xfId="0" applyFont="1" applyFill="1" applyBorder="1" applyAlignment="1" applyProtection="1">
      <alignment vertical="center"/>
      <protection locked="0"/>
    </xf>
    <xf numFmtId="0" fontId="51" fillId="3" borderId="32" xfId="0" applyFont="1" applyFill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50" fillId="13" borderId="0" xfId="0" applyFont="1" applyFill="1" applyAlignment="1">
      <alignment vertical="center"/>
    </xf>
    <xf numFmtId="0" fontId="50" fillId="13" borderId="9" xfId="0" applyFont="1" applyFill="1" applyBorder="1" applyAlignment="1">
      <alignment vertical="center"/>
    </xf>
    <xf numFmtId="0" fontId="50" fillId="13" borderId="0" xfId="0" applyFont="1" applyFill="1" applyAlignment="1">
      <alignment horizontal="left" vertical="center"/>
    </xf>
    <xf numFmtId="0" fontId="50" fillId="13" borderId="10" xfId="0" applyFont="1" applyFill="1" applyBorder="1" applyAlignment="1">
      <alignment vertical="center"/>
    </xf>
    <xf numFmtId="0" fontId="50" fillId="13" borderId="11" xfId="0" applyFont="1" applyFill="1" applyBorder="1" applyAlignment="1">
      <alignment vertical="center"/>
    </xf>
    <xf numFmtId="0" fontId="50" fillId="13" borderId="11" xfId="0" applyFont="1" applyFill="1" applyBorder="1" applyAlignment="1">
      <alignment horizontal="left" vertical="center"/>
    </xf>
    <xf numFmtId="0" fontId="55" fillId="3" borderId="12" xfId="0" applyFont="1" applyFill="1" applyBorder="1" applyAlignment="1">
      <alignment vertical="center"/>
    </xf>
    <xf numFmtId="0" fontId="49" fillId="14" borderId="0" xfId="0" applyFont="1" applyFill="1" applyAlignment="1" applyProtection="1">
      <alignment vertical="center"/>
      <protection hidden="1"/>
    </xf>
    <xf numFmtId="0" fontId="50" fillId="14" borderId="0" xfId="0" applyFont="1" applyFill="1" applyAlignment="1">
      <alignment vertical="center"/>
    </xf>
    <xf numFmtId="0" fontId="48" fillId="14" borderId="0" xfId="0" applyFont="1" applyFill="1" applyAlignment="1">
      <alignment horizontal="left" vertical="center"/>
    </xf>
    <xf numFmtId="0" fontId="51" fillId="14" borderId="0" xfId="0" applyFont="1" applyFill="1" applyAlignment="1">
      <alignment vertical="center"/>
    </xf>
    <xf numFmtId="0" fontId="51" fillId="14" borderId="0" xfId="0" applyFont="1" applyFill="1" applyAlignment="1">
      <alignment vertical="center" wrapText="1"/>
    </xf>
    <xf numFmtId="0" fontId="50" fillId="14" borderId="0" xfId="0" applyFont="1" applyFill="1" applyAlignment="1">
      <alignment vertical="center" wrapText="1"/>
    </xf>
    <xf numFmtId="0" fontId="54" fillId="14" borderId="0" xfId="0" applyFont="1" applyFill="1" applyAlignment="1">
      <alignment horizontal="left" vertical="center" wrapText="1"/>
    </xf>
    <xf numFmtId="0" fontId="57" fillId="14" borderId="0" xfId="0" applyFont="1" applyFill="1" applyAlignment="1">
      <alignment vertical="center"/>
    </xf>
    <xf numFmtId="49" fontId="27" fillId="0" borderId="0" xfId="2" applyNumberFormat="1" applyFont="1"/>
    <xf numFmtId="49" fontId="26" fillId="0" borderId="0" xfId="2" applyNumberFormat="1" applyFont="1"/>
    <xf numFmtId="0" fontId="50" fillId="3" borderId="0" xfId="0" applyFont="1" applyFill="1" applyAlignment="1">
      <alignment horizontal="center" vertical="center"/>
    </xf>
    <xf numFmtId="49" fontId="25" fillId="0" borderId="0" xfId="2" applyNumberFormat="1" applyFont="1"/>
    <xf numFmtId="0" fontId="50" fillId="3" borderId="7" xfId="0" applyFont="1" applyFill="1" applyBorder="1" applyAlignment="1">
      <alignment vertical="center"/>
    </xf>
    <xf numFmtId="0" fontId="55" fillId="3" borderId="0" xfId="0" applyFont="1" applyFill="1" applyAlignment="1">
      <alignment vertical="center"/>
    </xf>
    <xf numFmtId="0" fontId="59" fillId="3" borderId="0" xfId="0" applyFont="1" applyFill="1" applyAlignment="1">
      <alignment vertical="center"/>
    </xf>
    <xf numFmtId="0" fontId="53" fillId="3" borderId="0" xfId="0" applyFont="1" applyFill="1" applyAlignment="1">
      <alignment vertical="center"/>
    </xf>
    <xf numFmtId="49" fontId="24" fillId="0" borderId="0" xfId="2" applyNumberFormat="1" applyFont="1"/>
    <xf numFmtId="49" fontId="23" fillId="0" borderId="0" xfId="2" applyNumberFormat="1" applyFont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/>
    <xf numFmtId="49" fontId="18" fillId="0" borderId="0" xfId="2" applyNumberFormat="1" applyFont="1"/>
    <xf numFmtId="49" fontId="17" fillId="0" borderId="0" xfId="2" applyNumberFormat="1" applyFont="1"/>
    <xf numFmtId="0" fontId="63" fillId="0" borderId="0" xfId="0" applyFont="1" applyAlignment="1">
      <alignment vertical="center"/>
    </xf>
    <xf numFmtId="0" fontId="63" fillId="0" borderId="0" xfId="0" applyFont="1" applyAlignment="1">
      <alignment vertical="center" wrapText="1"/>
    </xf>
    <xf numFmtId="0" fontId="16" fillId="0" borderId="0" xfId="2" applyFont="1"/>
    <xf numFmtId="0" fontId="51" fillId="3" borderId="14" xfId="0" applyFont="1" applyFill="1" applyBorder="1" applyAlignment="1" applyProtection="1">
      <alignment vertical="center"/>
      <protection locked="0"/>
    </xf>
    <xf numFmtId="49" fontId="16" fillId="0" borderId="0" xfId="2" applyNumberFormat="1" applyFont="1"/>
    <xf numFmtId="49" fontId="15" fillId="0" borderId="0" xfId="2" applyNumberFormat="1" applyFont="1"/>
    <xf numFmtId="0" fontId="50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50" fillId="3" borderId="10" xfId="0" applyFont="1" applyFill="1" applyBorder="1" applyAlignment="1">
      <alignment vertical="center"/>
    </xf>
    <xf numFmtId="0" fontId="50" fillId="3" borderId="11" xfId="0" applyFont="1" applyFill="1" applyBorder="1" applyAlignment="1">
      <alignment horizontal="left" vertical="center"/>
    </xf>
    <xf numFmtId="49" fontId="14" fillId="0" borderId="0" xfId="2" applyNumberFormat="1" applyFont="1"/>
    <xf numFmtId="0" fontId="51" fillId="12" borderId="27" xfId="0" applyFont="1" applyFill="1" applyBorder="1" applyAlignment="1">
      <alignment horizontal="center" vertical="center"/>
    </xf>
    <xf numFmtId="0" fontId="51" fillId="12" borderId="32" xfId="0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1" fillId="12" borderId="35" xfId="0" applyFont="1" applyFill="1" applyBorder="1" applyAlignment="1">
      <alignment horizontal="center" vertical="center"/>
    </xf>
    <xf numFmtId="0" fontId="51" fillId="12" borderId="26" xfId="0" applyFont="1" applyFill="1" applyBorder="1" applyAlignment="1">
      <alignment horizontal="center" vertical="center"/>
    </xf>
    <xf numFmtId="0" fontId="62" fillId="12" borderId="32" xfId="0" applyFont="1" applyFill="1" applyBorder="1" applyAlignment="1" applyProtection="1">
      <alignment horizontal="center" vertical="center"/>
      <protection locked="0"/>
    </xf>
    <xf numFmtId="0" fontId="62" fillId="12" borderId="32" xfId="0" applyFont="1" applyFill="1" applyBorder="1" applyAlignment="1">
      <alignment horizontal="left" vertical="center"/>
    </xf>
    <xf numFmtId="0" fontId="62" fillId="12" borderId="1" xfId="0" applyFont="1" applyFill="1" applyBorder="1" applyAlignment="1">
      <alignment horizontal="left" vertical="center"/>
    </xf>
    <xf numFmtId="49" fontId="13" fillId="0" borderId="0" xfId="2" applyNumberFormat="1" applyFont="1"/>
    <xf numFmtId="0" fontId="13" fillId="0" borderId="0" xfId="2" applyFont="1"/>
    <xf numFmtId="0" fontId="39" fillId="5" borderId="7" xfId="0" applyFont="1" applyFill="1" applyBorder="1" applyAlignment="1" applyProtection="1">
      <alignment horizontal="center" vertical="center"/>
    </xf>
    <xf numFmtId="0" fontId="40" fillId="5" borderId="7" xfId="0" applyFont="1" applyFill="1" applyBorder="1" applyAlignment="1" applyProtection="1">
      <alignment vertical="center"/>
    </xf>
    <xf numFmtId="0" fontId="40" fillId="5" borderId="8" xfId="0" applyFont="1" applyFill="1" applyBorder="1" applyAlignment="1" applyProtection="1">
      <alignment vertical="center"/>
    </xf>
    <xf numFmtId="0" fontId="41" fillId="5" borderId="8" xfId="0" applyFont="1" applyFill="1" applyBorder="1" applyAlignment="1" applyProtection="1">
      <alignment vertical="center"/>
    </xf>
    <xf numFmtId="0" fontId="41" fillId="5" borderId="13" xfId="0" applyFont="1" applyFill="1" applyBorder="1" applyAlignment="1" applyProtection="1">
      <alignment vertical="center"/>
    </xf>
    <xf numFmtId="0" fontId="42" fillId="4" borderId="9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center" vertical="center"/>
    </xf>
    <xf numFmtId="0" fontId="38" fillId="4" borderId="12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vertical="center"/>
    </xf>
    <xf numFmtId="0" fontId="42" fillId="4" borderId="12" xfId="0" applyFont="1" applyFill="1" applyBorder="1" applyAlignment="1" applyProtection="1">
      <alignment horizontal="center" vertical="center"/>
    </xf>
    <xf numFmtId="0" fontId="42" fillId="4" borderId="9" xfId="0" applyFont="1" applyFill="1" applyBorder="1" applyAlignment="1" applyProtection="1">
      <alignment horizontal="right" vertical="center"/>
    </xf>
    <xf numFmtId="0" fontId="35" fillId="2" borderId="14" xfId="0" applyFont="1" applyFill="1" applyBorder="1" applyAlignment="1" applyProtection="1">
      <alignment vertical="center"/>
    </xf>
    <xf numFmtId="0" fontId="44" fillId="2" borderId="15" xfId="0" applyFont="1" applyFill="1" applyBorder="1" applyAlignment="1" applyProtection="1">
      <alignment vertical="center"/>
    </xf>
    <xf numFmtId="0" fontId="35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35" fillId="2" borderId="21" xfId="0" applyFont="1" applyFill="1" applyBorder="1" applyAlignment="1" applyProtection="1">
      <alignment vertical="center"/>
    </xf>
    <xf numFmtId="0" fontId="44" fillId="2" borderId="22" xfId="0" applyFont="1" applyFill="1" applyBorder="1" applyAlignment="1" applyProtection="1">
      <alignment vertical="center"/>
    </xf>
    <xf numFmtId="0" fontId="35" fillId="2" borderId="22" xfId="0" applyFont="1" applyFill="1" applyBorder="1" applyAlignment="1" applyProtection="1">
      <alignment horizontal="center" vertical="center"/>
    </xf>
    <xf numFmtId="1" fontId="0" fillId="2" borderId="21" xfId="0" applyNumberFormat="1" applyFont="1" applyFill="1" applyBorder="1" applyAlignment="1" applyProtection="1">
      <alignment vertical="center"/>
    </xf>
    <xf numFmtId="1" fontId="0" fillId="2" borderId="23" xfId="0" applyNumberFormat="1" applyFont="1" applyFill="1" applyBorder="1" applyAlignment="1" applyProtection="1">
      <alignment vertical="center"/>
    </xf>
    <xf numFmtId="0" fontId="0" fillId="0" borderId="0" xfId="0" applyFill="1"/>
    <xf numFmtId="0" fontId="35" fillId="2" borderId="2" xfId="0" applyFont="1" applyFill="1" applyBorder="1" applyAlignment="1" applyProtection="1">
      <alignment vertical="center"/>
    </xf>
    <xf numFmtId="0" fontId="44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35" fillId="2" borderId="2" xfId="0" applyFont="1" applyFill="1" applyBorder="1" applyAlignment="1" applyProtection="1">
      <alignment vertical="center" wrapText="1"/>
    </xf>
    <xf numFmtId="0" fontId="44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35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4" xfId="0" applyNumberFormat="1" applyFont="1" applyFill="1" applyBorder="1" applyAlignment="1" applyProtection="1">
      <alignment vertical="center"/>
    </xf>
    <xf numFmtId="0" fontId="35" fillId="2" borderId="18" xfId="0" applyFont="1" applyFill="1" applyBorder="1" applyAlignment="1" applyProtection="1">
      <alignment vertical="center"/>
    </xf>
    <xf numFmtId="0" fontId="35" fillId="2" borderId="17" xfId="0" applyFont="1" applyFill="1" applyBorder="1" applyAlignment="1" applyProtection="1">
      <alignment vertical="center"/>
    </xf>
    <xf numFmtId="0" fontId="44" fillId="2" borderId="18" xfId="0" applyFont="1" applyFill="1" applyBorder="1" applyAlignment="1" applyProtection="1">
      <alignment vertical="center"/>
    </xf>
    <xf numFmtId="0" fontId="35" fillId="2" borderId="18" xfId="0" applyFont="1" applyFill="1" applyBorder="1" applyAlignment="1" applyProtection="1">
      <alignment horizontal="center" vertical="center"/>
    </xf>
    <xf numFmtId="1" fontId="0" fillId="2" borderId="37" xfId="0" applyNumberFormat="1" applyFont="1" applyFill="1" applyBorder="1" applyAlignment="1" applyProtection="1">
      <alignment vertical="center"/>
    </xf>
    <xf numFmtId="1" fontId="0" fillId="2" borderId="42" xfId="0" applyNumberFormat="1" applyFont="1" applyFill="1" applyBorder="1" applyAlignment="1" applyProtection="1">
      <alignment vertical="center"/>
    </xf>
    <xf numFmtId="0" fontId="44" fillId="2" borderId="38" xfId="0" applyFont="1" applyFill="1" applyBorder="1" applyAlignment="1" applyProtection="1">
      <alignment vertical="center"/>
    </xf>
    <xf numFmtId="0" fontId="44" fillId="2" borderId="2" xfId="0" applyFont="1" applyFill="1" applyBorder="1" applyAlignment="1" applyProtection="1">
      <alignment vertical="center"/>
    </xf>
    <xf numFmtId="0" fontId="44" fillId="2" borderId="17" xfId="0" applyFont="1" applyFill="1" applyBorder="1" applyAlignment="1" applyProtection="1">
      <alignment vertical="center"/>
    </xf>
    <xf numFmtId="0" fontId="44" fillId="2" borderId="21" xfId="0" applyFont="1" applyFill="1" applyBorder="1" applyAlignment="1" applyProtection="1">
      <alignment vertical="center"/>
    </xf>
    <xf numFmtId="0" fontId="35" fillId="2" borderId="21" xfId="0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6" xfId="0" applyFont="1" applyFill="1" applyBorder="1" applyAlignment="1" applyProtection="1">
      <alignment vertical="center"/>
    </xf>
    <xf numFmtId="0" fontId="44" fillId="2" borderId="36" xfId="0" applyFont="1" applyFill="1" applyBorder="1" applyAlignment="1" applyProtection="1">
      <alignment vertical="center"/>
    </xf>
    <xf numFmtId="0" fontId="35" fillId="2" borderId="36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vertical="center"/>
    </xf>
    <xf numFmtId="0" fontId="35" fillId="2" borderId="4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0" fontId="66" fillId="0" borderId="0" xfId="0" applyFont="1"/>
    <xf numFmtId="0" fontId="32" fillId="2" borderId="14" xfId="0" applyFont="1" applyFill="1" applyBorder="1" applyAlignment="1" applyProtection="1">
      <alignment vertical="center"/>
    </xf>
    <xf numFmtId="0" fontId="44" fillId="2" borderId="20" xfId="0" applyFont="1" applyFill="1" applyBorder="1" applyAlignment="1" applyProtection="1">
      <alignment vertical="center"/>
    </xf>
    <xf numFmtId="0" fontId="35" fillId="2" borderId="20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27" xfId="0" applyNumberFormat="1" applyFont="1" applyFill="1" applyBorder="1" applyAlignment="1" applyProtection="1">
      <alignment horizontal="center" vertical="center"/>
    </xf>
    <xf numFmtId="1" fontId="0" fillId="2" borderId="43" xfId="0" applyNumberFormat="1" applyFont="1" applyFill="1" applyBorder="1" applyAlignment="1" applyProtection="1">
      <alignment vertical="center"/>
    </xf>
    <xf numFmtId="0" fontId="44" fillId="2" borderId="1" xfId="0" applyFont="1" applyFill="1" applyBorder="1" applyAlignment="1" applyProtection="1">
      <alignment horizontal="right" vertical="center" wrapText="1"/>
    </xf>
    <xf numFmtId="0" fontId="32" fillId="3" borderId="2" xfId="0" applyFont="1" applyFill="1" applyBorder="1" applyAlignment="1" applyProtection="1">
      <alignment vertical="center"/>
      <protection locked="0"/>
    </xf>
    <xf numFmtId="0" fontId="37" fillId="3" borderId="1" xfId="0" applyFont="1" applyFill="1" applyBorder="1" applyAlignment="1" applyProtection="1">
      <alignment vertical="center"/>
      <protection locked="0"/>
    </xf>
    <xf numFmtId="0" fontId="32" fillId="3" borderId="1" xfId="0" applyFont="1" applyFill="1" applyBorder="1" applyAlignment="1" applyProtection="1">
      <alignment vertical="center"/>
      <protection locked="0"/>
    </xf>
    <xf numFmtId="0" fontId="67" fillId="0" borderId="0" xfId="0" applyFont="1"/>
    <xf numFmtId="0" fontId="32" fillId="3" borderId="4" xfId="0" applyFont="1" applyFill="1" applyBorder="1" applyAlignment="1" applyProtection="1">
      <alignment vertical="center"/>
      <protection locked="0"/>
    </xf>
    <xf numFmtId="0" fontId="37" fillId="3" borderId="5" xfId="0" applyFont="1" applyFill="1" applyBorder="1" applyAlignment="1" applyProtection="1">
      <alignment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45" fillId="7" borderId="8" xfId="0" applyFont="1" applyFill="1" applyBorder="1" applyAlignment="1" applyProtection="1">
      <alignment vertical="center"/>
    </xf>
    <xf numFmtId="1" fontId="45" fillId="7" borderId="8" xfId="0" applyNumberFormat="1" applyFont="1" applyFill="1" applyBorder="1" applyAlignment="1" applyProtection="1">
      <alignment vertical="center"/>
    </xf>
    <xf numFmtId="1" fontId="45" fillId="7" borderId="8" xfId="0" applyNumberFormat="1" applyFont="1" applyFill="1" applyBorder="1" applyAlignment="1" applyProtection="1">
      <alignment horizontal="right" vertical="center"/>
    </xf>
    <xf numFmtId="0" fontId="35" fillId="8" borderId="9" xfId="0" applyFont="1" applyFill="1" applyBorder="1" applyAlignment="1" applyProtection="1">
      <alignment vertical="center"/>
    </xf>
    <xf numFmtId="0" fontId="35" fillId="8" borderId="0" xfId="0" applyFont="1" applyFill="1" applyBorder="1" applyAlignment="1" applyProtection="1">
      <alignment vertical="center"/>
    </xf>
    <xf numFmtId="0" fontId="37" fillId="8" borderId="0" xfId="0" applyFont="1" applyFill="1" applyBorder="1" applyAlignment="1" applyProtection="1">
      <alignment vertical="center"/>
      <protection hidden="1"/>
    </xf>
    <xf numFmtId="0" fontId="37" fillId="8" borderId="0" xfId="0" applyFont="1" applyFill="1" applyBorder="1" applyAlignment="1" applyProtection="1">
      <alignment vertical="center"/>
    </xf>
    <xf numFmtId="0" fontId="34" fillId="10" borderId="9" xfId="0" applyFont="1" applyFill="1" applyBorder="1" applyAlignment="1" applyProtection="1">
      <alignment vertical="center"/>
    </xf>
    <xf numFmtId="0" fontId="43" fillId="10" borderId="0" xfId="0" applyFont="1" applyFill="1" applyBorder="1" applyAlignment="1" applyProtection="1">
      <alignment vertical="center"/>
    </xf>
    <xf numFmtId="0" fontId="46" fillId="10" borderId="0" xfId="0" applyFont="1" applyFill="1" applyBorder="1" applyAlignment="1" applyProtection="1">
      <alignment vertical="center"/>
      <protection hidden="1"/>
    </xf>
    <xf numFmtId="0" fontId="46" fillId="10" borderId="0" xfId="0" applyFont="1" applyFill="1" applyBorder="1" applyAlignment="1" applyProtection="1">
      <alignment vertical="center"/>
    </xf>
    <xf numFmtId="164" fontId="47" fillId="10" borderId="0" xfId="0" applyNumberFormat="1" applyFont="1" applyFill="1" applyBorder="1" applyAlignment="1" applyProtection="1">
      <alignment horizontal="center" vertical="center"/>
    </xf>
    <xf numFmtId="0" fontId="34" fillId="9" borderId="28" xfId="0" applyFont="1" applyFill="1" applyBorder="1" applyAlignment="1" applyProtection="1">
      <alignment horizontal="center" vertical="center"/>
    </xf>
    <xf numFmtId="0" fontId="0" fillId="9" borderId="29" xfId="0" applyFill="1" applyBorder="1" applyProtection="1"/>
    <xf numFmtId="0" fontId="0" fillId="9" borderId="30" xfId="0" applyFill="1" applyBorder="1" applyAlignment="1" applyProtection="1">
      <alignment vertical="center"/>
    </xf>
    <xf numFmtId="1" fontId="44" fillId="2" borderId="22" xfId="0" applyNumberFormat="1" applyFont="1" applyFill="1" applyBorder="1" applyAlignment="1" applyProtection="1">
      <alignment vertical="center"/>
    </xf>
    <xf numFmtId="1" fontId="44" fillId="2" borderId="1" xfId="0" applyNumberFormat="1" applyFont="1" applyFill="1" applyBorder="1" applyAlignment="1" applyProtection="1">
      <alignment vertical="center"/>
    </xf>
    <xf numFmtId="1" fontId="44" fillId="2" borderId="1" xfId="0" applyNumberFormat="1" applyFont="1" applyFill="1" applyBorder="1" applyAlignment="1" applyProtection="1">
      <alignment vertical="center" wrapText="1"/>
    </xf>
    <xf numFmtId="49" fontId="42" fillId="4" borderId="0" xfId="0" applyNumberFormat="1" applyFont="1" applyFill="1" applyBorder="1" applyAlignment="1" applyProtection="1">
      <alignment horizontal="left" vertical="center"/>
    </xf>
    <xf numFmtId="0" fontId="32" fillId="2" borderId="4" xfId="0" applyFont="1" applyFill="1" applyBorder="1" applyAlignment="1" applyProtection="1">
      <alignment vertical="center"/>
    </xf>
    <xf numFmtId="49" fontId="50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50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34" fillId="10" borderId="12" xfId="0" applyNumberFormat="1" applyFont="1" applyFill="1" applyBorder="1" applyAlignment="1" applyProtection="1">
      <alignment vertical="center"/>
      <protection hidden="1"/>
    </xf>
    <xf numFmtId="49" fontId="12" fillId="0" borderId="0" xfId="2" applyNumberFormat="1" applyFont="1"/>
    <xf numFmtId="49" fontId="11" fillId="0" borderId="0" xfId="2" applyNumberFormat="1" applyFont="1"/>
    <xf numFmtId="0" fontId="51" fillId="12" borderId="27" xfId="0" applyFont="1" applyFill="1" applyBorder="1" applyAlignment="1">
      <alignment horizontal="center" vertical="center"/>
    </xf>
    <xf numFmtId="0" fontId="51" fillId="12" borderId="32" xfId="0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49" fontId="10" fillId="0" borderId="0" xfId="2" applyNumberFormat="1" applyFont="1"/>
    <xf numFmtId="0" fontId="10" fillId="0" borderId="0" xfId="2" applyFont="1"/>
    <xf numFmtId="49" fontId="9" fillId="0" borderId="0" xfId="2" applyNumberFormat="1" applyFont="1"/>
    <xf numFmtId="0" fontId="0" fillId="0" borderId="0" xfId="0"/>
    <xf numFmtId="0" fontId="0" fillId="0" borderId="0" xfId="0"/>
    <xf numFmtId="0" fontId="35" fillId="2" borderId="4" xfId="0" applyFont="1" applyFill="1" applyBorder="1" applyAlignment="1" applyProtection="1">
      <alignment vertical="center"/>
    </xf>
    <xf numFmtId="1" fontId="0" fillId="0" borderId="0" xfId="0" applyNumberFormat="1"/>
    <xf numFmtId="0" fontId="67" fillId="0" borderId="0" xfId="0" applyFont="1"/>
    <xf numFmtId="0" fontId="9" fillId="0" borderId="0" xfId="2" applyFont="1" applyFill="1"/>
    <xf numFmtId="0" fontId="9" fillId="0" borderId="0" xfId="2" applyFont="1"/>
    <xf numFmtId="49" fontId="8" fillId="0" borderId="0" xfId="2" applyNumberFormat="1" applyFont="1"/>
    <xf numFmtId="0" fontId="8" fillId="0" borderId="0" xfId="2" applyFont="1"/>
    <xf numFmtId="49" fontId="7" fillId="0" borderId="0" xfId="2" applyNumberFormat="1" applyFont="1" applyFill="1"/>
    <xf numFmtId="49" fontId="7" fillId="0" borderId="0" xfId="2" applyNumberFormat="1" applyFont="1"/>
    <xf numFmtId="0" fontId="7" fillId="0" borderId="0" xfId="2" applyFont="1"/>
    <xf numFmtId="0" fontId="43" fillId="6" borderId="19" xfId="0" applyFont="1" applyFill="1" applyBorder="1" applyAlignment="1" applyProtection="1">
      <alignment vertical="center" wrapText="1"/>
    </xf>
    <xf numFmtId="0" fontId="33" fillId="6" borderId="36" xfId="1" applyFont="1" applyFill="1" applyBorder="1" applyAlignment="1" applyProtection="1">
      <alignment horizontal="left" vertical="center"/>
    </xf>
    <xf numFmtId="0" fontId="33" fillId="6" borderId="36" xfId="1" applyFont="1" applyFill="1" applyBorder="1" applyAlignment="1" applyProtection="1">
      <alignment horizontal="center" vertical="center"/>
    </xf>
    <xf numFmtId="0" fontId="33" fillId="6" borderId="37" xfId="1" applyFont="1" applyFill="1" applyBorder="1" applyAlignment="1" applyProtection="1">
      <alignment horizontal="center" vertical="center"/>
    </xf>
    <xf numFmtId="0" fontId="33" fillId="2" borderId="44" xfId="0" applyFont="1" applyFill="1" applyBorder="1" applyAlignment="1" applyProtection="1">
      <alignment horizontal="center" vertical="center"/>
    </xf>
    <xf numFmtId="0" fontId="33" fillId="2" borderId="45" xfId="0" applyFont="1" applyFill="1" applyBorder="1" applyAlignment="1" applyProtection="1">
      <alignment horizontal="center" vertical="center"/>
    </xf>
    <xf numFmtId="49" fontId="6" fillId="0" borderId="0" xfId="2" applyNumberFormat="1" applyFont="1"/>
    <xf numFmtId="49" fontId="5" fillId="0" borderId="0" xfId="2" applyNumberFormat="1" applyFont="1"/>
    <xf numFmtId="0" fontId="62" fillId="12" borderId="32" xfId="0" applyFont="1" applyFill="1" applyBorder="1" applyAlignment="1" applyProtection="1">
      <alignment horizontal="center" vertical="center"/>
      <protection locked="0"/>
    </xf>
    <xf numFmtId="0" fontId="62" fillId="12" borderId="32" xfId="0" applyFont="1" applyFill="1" applyBorder="1" applyAlignment="1">
      <alignment horizontal="left" vertical="center"/>
    </xf>
    <xf numFmtId="0" fontId="62" fillId="12" borderId="1" xfId="0" applyFont="1" applyFill="1" applyBorder="1" applyAlignment="1">
      <alignment horizontal="left" vertical="center"/>
    </xf>
    <xf numFmtId="0" fontId="51" fillId="12" borderId="35" xfId="0" applyFont="1" applyFill="1" applyBorder="1" applyAlignment="1">
      <alignment horizontal="center" vertical="center"/>
    </xf>
    <xf numFmtId="0" fontId="51" fillId="12" borderId="26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43" fillId="2" borderId="41" xfId="0" applyFont="1" applyFill="1" applyBorder="1" applyAlignment="1" applyProtection="1">
      <alignment vertical="center"/>
    </xf>
    <xf numFmtId="0" fontId="43" fillId="2" borderId="19" xfId="0" applyFont="1" applyFill="1" applyBorder="1" applyAlignment="1" applyProtection="1">
      <alignment vertical="center"/>
    </xf>
    <xf numFmtId="0" fontId="43" fillId="2" borderId="39" xfId="0" applyFont="1" applyFill="1" applyBorder="1" applyAlignment="1" applyProtection="1">
      <alignment vertical="center"/>
    </xf>
    <xf numFmtId="0" fontId="44" fillId="2" borderId="5" xfId="0" applyFont="1" applyFill="1" applyBorder="1" applyAlignment="1" applyProtection="1">
      <alignment vertical="center"/>
    </xf>
    <xf numFmtId="0" fontId="35" fillId="2" borderId="5" xfId="0" applyFont="1" applyFill="1" applyBorder="1" applyAlignment="1" applyProtection="1">
      <alignment horizontal="center" vertical="center"/>
    </xf>
    <xf numFmtId="1" fontId="44" fillId="2" borderId="5" xfId="0" applyNumberFormat="1" applyFont="1" applyFill="1" applyBorder="1" applyAlignment="1" applyProtection="1">
      <alignment vertical="center"/>
    </xf>
    <xf numFmtId="0" fontId="33" fillId="2" borderId="46" xfId="0" applyFont="1" applyFill="1" applyBorder="1" applyAlignment="1" applyProtection="1">
      <alignment horizontal="center" vertical="center"/>
    </xf>
    <xf numFmtId="0" fontId="35" fillId="2" borderId="47" xfId="0" applyFont="1" applyFill="1" applyBorder="1" applyAlignment="1" applyProtection="1">
      <alignment vertical="center"/>
    </xf>
    <xf numFmtId="0" fontId="37" fillId="2" borderId="47" xfId="0" applyFont="1" applyFill="1" applyBorder="1" applyAlignment="1" applyProtection="1">
      <alignment vertical="center"/>
    </xf>
    <xf numFmtId="0" fontId="35" fillId="2" borderId="47" xfId="0" applyFont="1" applyFill="1" applyBorder="1" applyAlignment="1" applyProtection="1">
      <alignment horizontal="center" vertical="center"/>
    </xf>
    <xf numFmtId="0" fontId="43" fillId="2" borderId="46" xfId="0" applyFont="1" applyFill="1" applyBorder="1" applyAlignment="1" applyProtection="1">
      <alignment horizontal="center" vertical="center" wrapText="1"/>
    </xf>
    <xf numFmtId="0" fontId="44" fillId="2" borderId="48" xfId="0" applyFont="1" applyFill="1" applyBorder="1" applyAlignment="1" applyProtection="1">
      <alignment vertical="center"/>
    </xf>
    <xf numFmtId="0" fontId="35" fillId="2" borderId="48" xfId="0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  <protection locked="0"/>
    </xf>
    <xf numFmtId="14" fontId="0" fillId="9" borderId="29" xfId="0" applyNumberFormat="1" applyFill="1" applyBorder="1" applyProtection="1"/>
    <xf numFmtId="49" fontId="4" fillId="0" borderId="0" xfId="2" applyNumberFormat="1" applyFont="1"/>
    <xf numFmtId="0" fontId="4" fillId="0" borderId="0" xfId="2" applyFont="1"/>
    <xf numFmtId="1" fontId="0" fillId="0" borderId="2" xfId="0" applyNumberFormat="1" applyFont="1" applyFill="1" applyBorder="1" applyAlignment="1" applyProtection="1">
      <alignment vertical="center"/>
    </xf>
    <xf numFmtId="1" fontId="0" fillId="0" borderId="4" xfId="0" applyNumberFormat="1" applyFont="1" applyFill="1" applyBorder="1" applyAlignment="1" applyProtection="1">
      <alignment vertical="center"/>
    </xf>
    <xf numFmtId="49" fontId="3" fillId="0" borderId="0" xfId="2" applyNumberFormat="1" applyFont="1"/>
    <xf numFmtId="0" fontId="3" fillId="0" borderId="0" xfId="2" applyFont="1"/>
    <xf numFmtId="49" fontId="2" fillId="0" borderId="0" xfId="2" applyNumberFormat="1" applyFont="1"/>
    <xf numFmtId="49" fontId="1" fillId="0" borderId="0" xfId="2" applyNumberFormat="1" applyFont="1"/>
    <xf numFmtId="0" fontId="51" fillId="3" borderId="27" xfId="0" applyFont="1" applyFill="1" applyBorder="1" applyAlignment="1" applyProtection="1">
      <alignment horizontal="center" vertical="center"/>
      <protection locked="0"/>
    </xf>
    <xf numFmtId="0" fontId="51" fillId="3" borderId="32" xfId="0" applyFont="1" applyFill="1" applyBorder="1" applyAlignment="1" applyProtection="1">
      <alignment horizontal="center" vertical="center"/>
      <protection locked="0"/>
    </xf>
    <xf numFmtId="0" fontId="51" fillId="3" borderId="1" xfId="0" applyFont="1" applyFill="1" applyBorder="1" applyAlignment="1" applyProtection="1">
      <alignment horizontal="center" vertical="center"/>
      <protection locked="0"/>
    </xf>
    <xf numFmtId="0" fontId="51" fillId="0" borderId="27" xfId="0" applyFont="1" applyFill="1" applyBorder="1" applyAlignment="1" applyProtection="1">
      <alignment horizontal="center" vertical="center"/>
      <protection locked="0"/>
    </xf>
    <xf numFmtId="0" fontId="51" fillId="0" borderId="32" xfId="0" applyFont="1" applyFill="1" applyBorder="1" applyAlignment="1" applyProtection="1">
      <alignment horizontal="center" vertical="center"/>
      <protection locked="0"/>
    </xf>
    <xf numFmtId="0" fontId="62" fillId="0" borderId="32" xfId="0" applyFont="1" applyFill="1" applyBorder="1" applyAlignment="1" applyProtection="1">
      <alignment horizontal="center" vertical="center"/>
    </xf>
    <xf numFmtId="0" fontId="62" fillId="0" borderId="32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0" fontId="56" fillId="3" borderId="0" xfId="0" applyFont="1" applyFill="1" applyAlignment="1">
      <alignment horizontal="center" vertical="center"/>
    </xf>
    <xf numFmtId="49" fontId="49" fillId="3" borderId="0" xfId="0" applyNumberFormat="1" applyFont="1" applyFill="1" applyAlignment="1">
      <alignment horizontal="left" vertical="center" wrapText="1"/>
    </xf>
    <xf numFmtId="49" fontId="49" fillId="3" borderId="12" xfId="0" applyNumberFormat="1" applyFont="1" applyFill="1" applyBorder="1" applyAlignment="1">
      <alignment horizontal="left" vertical="center" wrapText="1"/>
    </xf>
    <xf numFmtId="49" fontId="50" fillId="3" borderId="11" xfId="0" applyNumberFormat="1" applyFont="1" applyFill="1" applyBorder="1" applyAlignment="1">
      <alignment horizontal="left" vertical="center"/>
    </xf>
    <xf numFmtId="49" fontId="50" fillId="3" borderId="25" xfId="0" applyNumberFormat="1" applyFont="1" applyFill="1" applyBorder="1" applyAlignment="1">
      <alignment horizontal="left" vertical="center"/>
    </xf>
    <xf numFmtId="49" fontId="50" fillId="13" borderId="0" xfId="0" applyNumberFormat="1" applyFont="1" applyFill="1" applyAlignment="1">
      <alignment horizontal="left" vertical="center" wrapText="1"/>
    </xf>
    <xf numFmtId="49" fontId="50" fillId="13" borderId="12" xfId="0" applyNumberFormat="1" applyFont="1" applyFill="1" applyBorder="1" applyAlignment="1">
      <alignment horizontal="left" vertical="center" wrapText="1"/>
    </xf>
    <xf numFmtId="49" fontId="64" fillId="3" borderId="11" xfId="3" applyNumberFormat="1" applyFill="1" applyBorder="1" applyAlignment="1" applyProtection="1">
      <alignment horizontal="left" vertical="center" wrapText="1"/>
      <protection locked="0"/>
    </xf>
    <xf numFmtId="49" fontId="50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0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50" fillId="13" borderId="0" xfId="0" applyNumberFormat="1" applyFont="1" applyFill="1" applyAlignment="1" applyProtection="1">
      <alignment horizontal="left" vertical="center" wrapText="1"/>
      <protection locked="0"/>
    </xf>
    <xf numFmtId="49" fontId="50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50" fillId="13" borderId="0" xfId="0" applyFont="1" applyFill="1" applyAlignment="1" applyProtection="1">
      <alignment horizontal="left" vertical="center"/>
      <protection locked="0"/>
    </xf>
    <xf numFmtId="0" fontId="50" fillId="13" borderId="12" xfId="0" applyFont="1" applyFill="1" applyBorder="1" applyAlignment="1" applyProtection="1">
      <alignment horizontal="left" vertical="center"/>
      <protection locked="0"/>
    </xf>
    <xf numFmtId="49" fontId="50" fillId="13" borderId="11" xfId="0" applyNumberFormat="1" applyFont="1" applyFill="1" applyBorder="1" applyAlignment="1">
      <alignment horizontal="left" vertical="center" wrapText="1"/>
    </xf>
    <xf numFmtId="49" fontId="50" fillId="13" borderId="25" xfId="0" applyNumberFormat="1" applyFont="1" applyFill="1" applyBorder="1" applyAlignment="1">
      <alignment horizontal="left" vertical="center" wrapText="1"/>
    </xf>
    <xf numFmtId="0" fontId="50" fillId="13" borderId="11" xfId="0" applyFont="1" applyFill="1" applyBorder="1" applyAlignment="1" applyProtection="1">
      <alignment horizontal="left" vertical="center"/>
      <protection locked="0"/>
    </xf>
    <xf numFmtId="0" fontId="50" fillId="13" borderId="25" xfId="0" applyFont="1" applyFill="1" applyBorder="1" applyAlignment="1" applyProtection="1">
      <alignment horizontal="left" vertical="center"/>
      <protection locked="0"/>
    </xf>
    <xf numFmtId="49" fontId="50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50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53" fillId="3" borderId="28" xfId="0" applyFont="1" applyFill="1" applyBorder="1" applyAlignment="1" applyProtection="1">
      <alignment horizontal="center" vertical="center"/>
      <protection locked="0"/>
    </xf>
    <xf numFmtId="0" fontId="53" fillId="3" borderId="29" xfId="0" applyFont="1" applyFill="1" applyBorder="1" applyAlignment="1" applyProtection="1">
      <alignment horizontal="center" vertical="center"/>
      <protection locked="0"/>
    </xf>
    <xf numFmtId="0" fontId="53" fillId="3" borderId="30" xfId="0" applyFont="1" applyFill="1" applyBorder="1" applyAlignment="1" applyProtection="1">
      <alignment horizontal="center" vertical="center"/>
      <protection locked="0"/>
    </xf>
    <xf numFmtId="0" fontId="58" fillId="3" borderId="11" xfId="0" applyFont="1" applyFill="1" applyBorder="1" applyAlignment="1">
      <alignment horizontal="left" vertical="center"/>
    </xf>
    <xf numFmtId="0" fontId="52" fillId="3" borderId="28" xfId="0" applyFont="1" applyFill="1" applyBorder="1" applyAlignment="1" applyProtection="1">
      <alignment horizontal="left" vertical="center"/>
      <protection locked="0"/>
    </xf>
    <xf numFmtId="0" fontId="52" fillId="3" borderId="29" xfId="0" applyFont="1" applyFill="1" applyBorder="1" applyAlignment="1" applyProtection="1">
      <alignment horizontal="left" vertical="center"/>
      <protection locked="0"/>
    </xf>
    <xf numFmtId="0" fontId="52" fillId="3" borderId="30" xfId="0" applyFont="1" applyFill="1" applyBorder="1" applyAlignment="1" applyProtection="1">
      <alignment horizontal="left" vertical="center"/>
      <protection locked="0"/>
    </xf>
    <xf numFmtId="0" fontId="53" fillId="3" borderId="11" xfId="0" applyFont="1" applyFill="1" applyBorder="1" applyAlignment="1" applyProtection="1">
      <alignment horizontal="center" vertical="center"/>
    </xf>
    <xf numFmtId="0" fontId="51" fillId="3" borderId="27" xfId="0" applyFont="1" applyFill="1" applyBorder="1" applyAlignment="1" applyProtection="1">
      <alignment horizontal="left" vertical="center"/>
      <protection locked="0"/>
    </xf>
    <xf numFmtId="0" fontId="51" fillId="3" borderId="32" xfId="0" applyFont="1" applyFill="1" applyBorder="1" applyAlignment="1" applyProtection="1">
      <alignment horizontal="left" vertical="center"/>
      <protection locked="0"/>
    </xf>
    <xf numFmtId="0" fontId="51" fillId="3" borderId="1" xfId="0" applyFont="1" applyFill="1" applyBorder="1" applyAlignment="1" applyProtection="1">
      <alignment horizontal="left" vertical="center"/>
      <protection locked="0"/>
    </xf>
    <xf numFmtId="0" fontId="62" fillId="3" borderId="32" xfId="0" applyFont="1" applyFill="1" applyBorder="1" applyAlignment="1">
      <alignment horizontal="left" vertical="center"/>
    </xf>
    <xf numFmtId="0" fontId="62" fillId="3" borderId="1" xfId="0" applyFont="1" applyFill="1" applyBorder="1" applyAlignment="1">
      <alignment horizontal="left" vertical="center"/>
    </xf>
    <xf numFmtId="1" fontId="50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50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5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3" fillId="4" borderId="28" xfId="0" applyNumberFormat="1" applyFont="1" applyFill="1" applyBorder="1" applyAlignment="1" applyProtection="1">
      <alignment horizontal="center" vertical="center"/>
      <protection locked="0"/>
    </xf>
    <xf numFmtId="1" fontId="53" fillId="4" borderId="29" xfId="0" applyNumberFormat="1" applyFont="1" applyFill="1" applyBorder="1" applyAlignment="1" applyProtection="1">
      <alignment horizontal="center" vertical="center"/>
      <protection locked="0"/>
    </xf>
    <xf numFmtId="1" fontId="53" fillId="4" borderId="30" xfId="0" applyNumberFormat="1" applyFont="1" applyFill="1" applyBorder="1" applyAlignment="1" applyProtection="1">
      <alignment horizontal="center" vertical="center"/>
      <protection locked="0"/>
    </xf>
    <xf numFmtId="14" fontId="50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50" fillId="3" borderId="29" xfId="0" applyNumberFormat="1" applyFont="1" applyFill="1" applyBorder="1" applyAlignment="1" applyProtection="1">
      <alignment horizontal="center" vertical="center" wrapText="1"/>
      <protection locked="0"/>
    </xf>
    <xf numFmtId="14" fontId="5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0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50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28" xfId="0" applyFont="1" applyFill="1" applyBorder="1" applyAlignment="1">
      <alignment horizontal="center" vertical="center"/>
    </xf>
    <xf numFmtId="0" fontId="50" fillId="3" borderId="29" xfId="0" applyFont="1" applyFill="1" applyBorder="1" applyAlignment="1">
      <alignment horizontal="center" vertical="center"/>
    </xf>
    <xf numFmtId="0" fontId="50" fillId="3" borderId="30" xfId="0" applyFont="1" applyFill="1" applyBorder="1" applyAlignment="1">
      <alignment horizontal="center" vertical="center"/>
    </xf>
    <xf numFmtId="49" fontId="50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9" fillId="3" borderId="8" xfId="0" applyNumberFormat="1" applyFont="1" applyFill="1" applyBorder="1" applyAlignment="1">
      <alignment horizontal="left" vertical="center" wrapText="1"/>
    </xf>
    <xf numFmtId="49" fontId="49" fillId="3" borderId="13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0" fontId="56" fillId="3" borderId="9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1" fillId="3" borderId="35" xfId="0" applyFont="1" applyFill="1" applyBorder="1" applyAlignment="1" applyProtection="1">
      <alignment horizontal="left" vertical="center"/>
      <protection locked="0"/>
    </xf>
    <xf numFmtId="0" fontId="51" fillId="3" borderId="26" xfId="0" applyFont="1" applyFill="1" applyBorder="1" applyAlignment="1" applyProtection="1">
      <alignment horizontal="left" vertical="center"/>
      <protection locked="0"/>
    </xf>
    <xf numFmtId="0" fontId="51" fillId="3" borderId="15" xfId="0" applyFont="1" applyFill="1" applyBorder="1" applyAlignment="1" applyProtection="1">
      <alignment horizontal="left" vertical="center"/>
      <protection locked="0"/>
    </xf>
    <xf numFmtId="0" fontId="62" fillId="3" borderId="26" xfId="0" applyFont="1" applyFill="1" applyBorder="1" applyAlignment="1" applyProtection="1">
      <alignment horizontal="left" vertical="center"/>
      <protection hidden="1"/>
    </xf>
    <xf numFmtId="0" fontId="62" fillId="3" borderId="15" xfId="0" applyFont="1" applyFill="1" applyBorder="1" applyAlignment="1" applyProtection="1">
      <alignment horizontal="left" vertical="center"/>
      <protection hidden="1"/>
    </xf>
    <xf numFmtId="49" fontId="50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50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5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51" fillId="3" borderId="33" xfId="0" applyFont="1" applyFill="1" applyBorder="1" applyAlignment="1" applyProtection="1">
      <alignment horizontal="center" vertical="center"/>
      <protection locked="0"/>
    </xf>
    <xf numFmtId="0" fontId="51" fillId="3" borderId="31" xfId="0" applyFont="1" applyFill="1" applyBorder="1" applyAlignment="1" applyProtection="1">
      <alignment horizontal="center" vertical="center"/>
      <protection locked="0"/>
    </xf>
    <xf numFmtId="0" fontId="51" fillId="3" borderId="18" xfId="0" applyFont="1" applyFill="1" applyBorder="1" applyAlignment="1" applyProtection="1">
      <alignment horizontal="center" vertical="center"/>
      <protection locked="0"/>
    </xf>
    <xf numFmtId="0" fontId="51" fillId="3" borderId="26" xfId="0" applyFont="1" applyFill="1" applyBorder="1" applyAlignment="1" applyProtection="1">
      <alignment horizontal="center" vertical="center"/>
      <protection locked="0"/>
    </xf>
    <xf numFmtId="0" fontId="51" fillId="3" borderId="15" xfId="0" applyFont="1" applyFill="1" applyBorder="1" applyAlignment="1" applyProtection="1">
      <alignment horizontal="center" vertical="center"/>
      <protection locked="0"/>
    </xf>
    <xf numFmtId="0" fontId="50" fillId="3" borderId="0" xfId="0" applyFont="1" applyFill="1" applyAlignment="1">
      <alignment horizontal="center" vertical="center"/>
    </xf>
    <xf numFmtId="0" fontId="51" fillId="12" borderId="27" xfId="0" applyFont="1" applyFill="1" applyBorder="1" applyAlignment="1">
      <alignment horizontal="center" vertical="center"/>
    </xf>
    <xf numFmtId="0" fontId="51" fillId="12" borderId="32" xfId="0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0" fillId="3" borderId="27" xfId="0" applyFont="1" applyFill="1" applyBorder="1" applyAlignment="1" applyProtection="1">
      <alignment horizontal="center" vertical="center"/>
    </xf>
    <xf numFmtId="0" fontId="50" fillId="3" borderId="32" xfId="0" applyFont="1" applyFill="1" applyBorder="1" applyAlignment="1" applyProtection="1">
      <alignment horizontal="center" vertical="center"/>
    </xf>
    <xf numFmtId="0" fontId="50" fillId="3" borderId="33" xfId="0" applyFont="1" applyFill="1" applyBorder="1" applyAlignment="1" applyProtection="1">
      <alignment horizontal="center" vertical="top"/>
      <protection locked="0"/>
    </xf>
    <xf numFmtId="0" fontId="50" fillId="3" borderId="31" xfId="0" applyFont="1" applyFill="1" applyBorder="1" applyAlignment="1" applyProtection="1">
      <alignment horizontal="center" vertical="top"/>
      <protection locked="0"/>
    </xf>
    <xf numFmtId="0" fontId="50" fillId="3" borderId="18" xfId="0" applyFont="1" applyFill="1" applyBorder="1" applyAlignment="1" applyProtection="1">
      <alignment horizontal="center" vertical="top"/>
      <protection locked="0"/>
    </xf>
    <xf numFmtId="0" fontId="50" fillId="3" borderId="34" xfId="0" applyFont="1" applyFill="1" applyBorder="1" applyAlignment="1" applyProtection="1">
      <alignment horizontal="center" vertical="top"/>
      <protection locked="0"/>
    </xf>
    <xf numFmtId="0" fontId="50" fillId="3" borderId="0" xfId="0" applyFont="1" applyFill="1" applyAlignment="1" applyProtection="1">
      <alignment horizontal="center" vertical="top"/>
      <protection locked="0"/>
    </xf>
    <xf numFmtId="0" fontId="50" fillId="3" borderId="20" xfId="0" applyFont="1" applyFill="1" applyBorder="1" applyAlignment="1" applyProtection="1">
      <alignment horizontal="center" vertical="top"/>
      <protection locked="0"/>
    </xf>
    <xf numFmtId="0" fontId="50" fillId="3" borderId="35" xfId="0" applyFont="1" applyFill="1" applyBorder="1" applyAlignment="1" applyProtection="1">
      <alignment horizontal="center" vertical="top"/>
      <protection locked="0"/>
    </xf>
    <xf numFmtId="0" fontId="50" fillId="3" borderId="26" xfId="0" applyFont="1" applyFill="1" applyBorder="1" applyAlignment="1" applyProtection="1">
      <alignment horizontal="center" vertical="top"/>
      <protection locked="0"/>
    </xf>
    <xf numFmtId="0" fontId="50" fillId="3" borderId="15" xfId="0" applyFont="1" applyFill="1" applyBorder="1" applyAlignment="1" applyProtection="1">
      <alignment horizontal="center" vertical="top"/>
      <protection locked="0"/>
    </xf>
    <xf numFmtId="0" fontId="51" fillId="3" borderId="2" xfId="0" applyFont="1" applyFill="1" applyBorder="1" applyAlignment="1" applyProtection="1">
      <alignment horizontal="left" vertical="center"/>
      <protection locked="0"/>
    </xf>
    <xf numFmtId="49" fontId="50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0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5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27" xfId="0" applyFont="1" applyFill="1" applyBorder="1" applyAlignment="1" applyProtection="1">
      <alignment horizontal="center" vertical="center"/>
      <protection locked="0"/>
    </xf>
    <xf numFmtId="0" fontId="50" fillId="3" borderId="1" xfId="0" applyFont="1" applyFill="1" applyBorder="1" applyAlignment="1" applyProtection="1">
      <alignment horizontal="center" vertical="center"/>
      <protection locked="0"/>
    </xf>
    <xf numFmtId="0" fontId="50" fillId="3" borderId="32" xfId="0" applyFont="1" applyFill="1" applyBorder="1" applyAlignment="1" applyProtection="1">
      <alignment horizontal="center" vertical="center"/>
      <protection locked="0"/>
    </xf>
    <xf numFmtId="0" fontId="51" fillId="0" borderId="27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12" borderId="35" xfId="0" applyFont="1" applyFill="1" applyBorder="1" applyAlignment="1">
      <alignment horizontal="center" vertical="center"/>
    </xf>
    <xf numFmtId="0" fontId="51" fillId="12" borderId="26" xfId="0" applyFont="1" applyFill="1" applyBorder="1" applyAlignment="1">
      <alignment horizontal="center" vertical="center"/>
    </xf>
    <xf numFmtId="0" fontId="62" fillId="12" borderId="32" xfId="0" applyFont="1" applyFill="1" applyBorder="1" applyAlignment="1" applyProtection="1">
      <alignment horizontal="center" vertical="center"/>
    </xf>
    <xf numFmtId="0" fontId="62" fillId="12" borderId="32" xfId="0" applyFont="1" applyFill="1" applyBorder="1" applyAlignment="1">
      <alignment horizontal="left" vertical="center"/>
    </xf>
    <xf numFmtId="0" fontId="62" fillId="12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 applyProtection="1">
      <alignment horizontal="center" vertical="center"/>
      <protection locked="0"/>
    </xf>
    <xf numFmtId="49" fontId="42" fillId="4" borderId="0" xfId="0" applyNumberFormat="1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horizontal="left" vertical="center"/>
    </xf>
    <xf numFmtId="0" fontId="33" fillId="6" borderId="34" xfId="1" applyFont="1" applyFill="1" applyBorder="1" applyAlignment="1" applyProtection="1">
      <alignment horizontal="center" vertical="center"/>
    </xf>
    <xf numFmtId="0" fontId="33" fillId="6" borderId="0" xfId="1" applyFont="1" applyFill="1" applyBorder="1" applyAlignment="1" applyProtection="1">
      <alignment horizontal="center" vertical="center"/>
    </xf>
    <xf numFmtId="0" fontId="33" fillId="6" borderId="20" xfId="1" applyFont="1" applyFill="1" applyBorder="1" applyAlignment="1" applyProtection="1">
      <alignment horizontal="center" vertical="center"/>
    </xf>
    <xf numFmtId="0" fontId="43" fillId="2" borderId="41" xfId="0" applyFont="1" applyFill="1" applyBorder="1" applyAlignment="1" applyProtection="1">
      <alignment horizontal="center" vertical="center"/>
    </xf>
    <xf numFmtId="0" fontId="43" fillId="2" borderId="19" xfId="0" applyFont="1" applyFill="1" applyBorder="1" applyAlignment="1" applyProtection="1">
      <alignment horizontal="center" vertical="center"/>
    </xf>
    <xf numFmtId="0" fontId="43" fillId="2" borderId="39" xfId="0" applyFont="1" applyFill="1" applyBorder="1" applyAlignment="1" applyProtection="1">
      <alignment horizontal="center" vertical="center"/>
    </xf>
    <xf numFmtId="0" fontId="43" fillId="2" borderId="41" xfId="0" applyFont="1" applyFill="1" applyBorder="1" applyAlignment="1" applyProtection="1">
      <alignment horizontal="center" vertical="center" wrapText="1"/>
    </xf>
    <xf numFmtId="0" fontId="43" fillId="2" borderId="19" xfId="0" applyFont="1" applyFill="1" applyBorder="1" applyAlignment="1" applyProtection="1">
      <alignment horizontal="center" vertical="center" wrapText="1"/>
    </xf>
    <xf numFmtId="0" fontId="43" fillId="2" borderId="39" xfId="0" applyFont="1" applyFill="1" applyBorder="1" applyAlignment="1" applyProtection="1">
      <alignment horizontal="center" vertical="center" wrapText="1"/>
    </xf>
    <xf numFmtId="49" fontId="0" fillId="9" borderId="29" xfId="0" applyNumberFormat="1" applyFill="1" applyBorder="1" applyAlignment="1" applyProtection="1">
      <alignment horizontal="left"/>
    </xf>
    <xf numFmtId="0" fontId="0" fillId="9" borderId="29" xfId="0" applyFill="1" applyBorder="1" applyAlignment="1" applyProtection="1">
      <alignment horizontal="left"/>
    </xf>
  </cellXfs>
  <cellStyles count="5">
    <cellStyle name="Link" xfId="3" builtinId="8"/>
    <cellStyle name="Normal 2" xfId="2"/>
    <cellStyle name="Normální 2" xfId="1"/>
    <cellStyle name="Standard" xfId="0" builtinId="0"/>
    <cellStyle name="Standard 3" xfId="4"/>
  </cellStyles>
  <dxfs count="31">
    <dxf>
      <fill>
        <patternFill>
          <bgColor rgb="FFF0F8FA"/>
        </patternFill>
      </fill>
    </dxf>
    <dxf>
      <font>
        <strike val="0"/>
        <color theme="0"/>
      </font>
    </dxf>
    <dxf>
      <font>
        <strike val="0"/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ont>
        <color theme="0"/>
      </font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92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48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da/Desktop/omega-f/OMEGA-F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Y299"/>
  <sheetViews>
    <sheetView tabSelected="1" topLeftCell="A28" zoomScaleNormal="100" workbookViewId="0">
      <selection activeCell="Q26" sqref="Q26:Z26"/>
    </sheetView>
  </sheetViews>
  <sheetFormatPr baseColWidth="10"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140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1063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130</v>
      </c>
      <c r="C2" s="21"/>
      <c r="D2" s="21"/>
      <c r="E2" s="21"/>
      <c r="F2" s="22"/>
      <c r="G2" s="297" t="s">
        <v>129</v>
      </c>
      <c r="H2" s="298"/>
      <c r="I2" s="298"/>
      <c r="J2" s="298"/>
      <c r="K2" s="298"/>
      <c r="L2" s="299"/>
      <c r="M2" s="314" t="s">
        <v>1062</v>
      </c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72" t="s">
        <v>680</v>
      </c>
      <c r="AD2" s="72"/>
      <c r="AE2" s="300">
        <f ca="1">TODAY()</f>
        <v>43720</v>
      </c>
      <c r="AF2" s="301"/>
      <c r="AG2" s="301"/>
      <c r="AH2" s="301"/>
      <c r="AI2" s="301"/>
      <c r="AJ2" s="302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61" t="s">
        <v>473</v>
      </c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39" t="s">
        <v>220</v>
      </c>
      <c r="AD3" s="72"/>
      <c r="AE3" s="305" t="s">
        <v>1040</v>
      </c>
      <c r="AF3" s="306"/>
      <c r="AG3" s="306"/>
      <c r="AH3" s="306"/>
      <c r="AI3" s="306"/>
      <c r="AJ3" s="307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226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310" t="s">
        <v>40</v>
      </c>
      <c r="G6" s="310"/>
      <c r="H6" s="310"/>
      <c r="I6" s="310"/>
      <c r="J6" s="310"/>
      <c r="K6" s="310"/>
      <c r="L6" s="310"/>
      <c r="M6" s="310"/>
      <c r="N6" s="311"/>
      <c r="O6" s="69" t="s">
        <v>480</v>
      </c>
      <c r="P6" s="18"/>
      <c r="Q6" s="18"/>
      <c r="R6" s="27"/>
      <c r="S6" s="308"/>
      <c r="T6" s="308"/>
      <c r="U6" s="308"/>
      <c r="V6" s="308"/>
      <c r="W6" s="308"/>
      <c r="X6" s="308"/>
      <c r="Y6" s="308"/>
      <c r="Z6" s="309"/>
      <c r="AA6" s="69" t="s">
        <v>480</v>
      </c>
      <c r="AB6" s="28"/>
      <c r="AC6" s="308"/>
      <c r="AD6" s="308"/>
      <c r="AE6" s="308"/>
      <c r="AF6" s="308"/>
      <c r="AG6" s="308"/>
      <c r="AH6" s="308"/>
      <c r="AI6" s="308"/>
      <c r="AJ6" s="309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62" t="s">
        <v>41</v>
      </c>
      <c r="G7" s="262"/>
      <c r="H7" s="262"/>
      <c r="I7" s="262"/>
      <c r="J7" s="262"/>
      <c r="K7" s="262"/>
      <c r="L7" s="262"/>
      <c r="M7" s="262"/>
      <c r="N7" s="263"/>
      <c r="O7" s="31" t="s">
        <v>4</v>
      </c>
      <c r="P7" s="87"/>
      <c r="Q7" s="87"/>
      <c r="R7" s="88"/>
      <c r="S7" s="312"/>
      <c r="T7" s="312"/>
      <c r="U7" s="312"/>
      <c r="V7" s="312"/>
      <c r="W7" s="312"/>
      <c r="X7" s="312"/>
      <c r="Y7" s="312"/>
      <c r="Z7" s="313"/>
      <c r="AA7" s="31" t="s">
        <v>4</v>
      </c>
      <c r="AB7" s="88"/>
      <c r="AC7" s="192"/>
      <c r="AD7" s="192"/>
      <c r="AE7" s="192"/>
      <c r="AF7" s="192"/>
      <c r="AG7" s="192"/>
      <c r="AH7" s="192"/>
      <c r="AI7" s="192"/>
      <c r="AJ7" s="193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62" t="s">
        <v>42</v>
      </c>
      <c r="G8" s="262"/>
      <c r="H8" s="262"/>
      <c r="I8" s="262"/>
      <c r="J8" s="262"/>
      <c r="K8" s="262"/>
      <c r="L8" s="262"/>
      <c r="M8" s="262"/>
      <c r="N8" s="263"/>
      <c r="O8" s="31" t="s">
        <v>230</v>
      </c>
      <c r="P8" s="87"/>
      <c r="Q8" s="87"/>
      <c r="R8" s="88"/>
      <c r="S8" s="303"/>
      <c r="T8" s="303"/>
      <c r="U8" s="303"/>
      <c r="V8" s="303"/>
      <c r="W8" s="303"/>
      <c r="X8" s="303"/>
      <c r="Y8" s="303"/>
      <c r="Z8" s="304"/>
      <c r="AA8" s="31" t="s">
        <v>230</v>
      </c>
      <c r="AB8" s="88"/>
      <c r="AC8" s="303"/>
      <c r="AD8" s="303"/>
      <c r="AE8" s="303"/>
      <c r="AF8" s="303"/>
      <c r="AG8" s="303"/>
      <c r="AH8" s="303"/>
      <c r="AI8" s="303"/>
      <c r="AJ8" s="304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62" t="s">
        <v>43</v>
      </c>
      <c r="G9" s="262"/>
      <c r="H9" s="262"/>
      <c r="I9" s="262"/>
      <c r="J9" s="262"/>
      <c r="K9" s="262"/>
      <c r="L9" s="262"/>
      <c r="M9" s="262"/>
      <c r="N9" s="263"/>
      <c r="O9" s="31" t="s">
        <v>657</v>
      </c>
      <c r="P9" s="87"/>
      <c r="Q9" s="88"/>
      <c r="R9" s="88"/>
      <c r="S9" s="303"/>
      <c r="T9" s="303"/>
      <c r="U9" s="303"/>
      <c r="V9" s="303"/>
      <c r="W9" s="303"/>
      <c r="X9" s="303"/>
      <c r="Y9" s="303"/>
      <c r="Z9" s="304"/>
      <c r="AA9" s="31" t="s">
        <v>657</v>
      </c>
      <c r="AB9" s="88"/>
      <c r="AC9" s="303"/>
      <c r="AD9" s="303"/>
      <c r="AE9" s="303"/>
      <c r="AF9" s="303"/>
      <c r="AG9" s="303"/>
      <c r="AH9" s="303"/>
      <c r="AI9" s="303"/>
      <c r="AJ9" s="304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62" t="s">
        <v>44</v>
      </c>
      <c r="G10" s="262"/>
      <c r="H10" s="262"/>
      <c r="I10" s="262"/>
      <c r="J10" s="262"/>
      <c r="K10" s="262"/>
      <c r="L10" s="262"/>
      <c r="M10" s="262"/>
      <c r="N10" s="263"/>
      <c r="O10" s="31" t="s">
        <v>236</v>
      </c>
      <c r="P10" s="87"/>
      <c r="Q10" s="88"/>
      <c r="R10" s="88"/>
      <c r="S10" s="303"/>
      <c r="T10" s="303"/>
      <c r="U10" s="303"/>
      <c r="V10" s="303"/>
      <c r="W10" s="303"/>
      <c r="X10" s="303"/>
      <c r="Y10" s="303"/>
      <c r="Z10" s="304"/>
      <c r="AA10" s="31" t="s">
        <v>236</v>
      </c>
      <c r="AB10" s="88"/>
      <c r="AC10" s="303"/>
      <c r="AD10" s="303"/>
      <c r="AE10" s="303"/>
      <c r="AF10" s="303"/>
      <c r="AG10" s="303"/>
      <c r="AH10" s="303"/>
      <c r="AI10" s="303"/>
      <c r="AJ10" s="304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62" t="s">
        <v>45</v>
      </c>
      <c r="G11" s="262"/>
      <c r="H11" s="262"/>
      <c r="I11" s="262"/>
      <c r="J11" s="262"/>
      <c r="K11" s="262"/>
      <c r="L11" s="262"/>
      <c r="M11" s="262"/>
      <c r="N11" s="263"/>
      <c r="O11" s="31" t="s">
        <v>239</v>
      </c>
      <c r="P11" s="87"/>
      <c r="Q11" s="88"/>
      <c r="R11" s="88"/>
      <c r="S11" s="303"/>
      <c r="T11" s="303"/>
      <c r="U11" s="303"/>
      <c r="V11" s="303"/>
      <c r="W11" s="303"/>
      <c r="X11" s="303"/>
      <c r="Y11" s="303"/>
      <c r="Z11" s="304"/>
      <c r="AA11" s="31" t="s">
        <v>239</v>
      </c>
      <c r="AB11" s="88"/>
      <c r="AC11" s="303"/>
      <c r="AD11" s="303"/>
      <c r="AE11" s="303"/>
      <c r="AF11" s="303"/>
      <c r="AG11" s="303"/>
      <c r="AH11" s="303"/>
      <c r="AI11" s="303"/>
      <c r="AJ11" s="304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62" t="s">
        <v>46</v>
      </c>
      <c r="G12" s="262"/>
      <c r="H12" s="262"/>
      <c r="I12" s="262"/>
      <c r="J12" s="262"/>
      <c r="K12" s="262"/>
      <c r="L12" s="262"/>
      <c r="M12" s="262"/>
      <c r="N12" s="263"/>
      <c r="O12" s="31" t="s">
        <v>651</v>
      </c>
      <c r="P12" s="87"/>
      <c r="Q12" s="88"/>
      <c r="R12" s="88"/>
      <c r="S12" s="303"/>
      <c r="T12" s="303"/>
      <c r="U12" s="303"/>
      <c r="V12" s="303"/>
      <c r="W12" s="303"/>
      <c r="X12" s="303"/>
      <c r="Y12" s="303"/>
      <c r="Z12" s="304"/>
      <c r="AA12" s="31" t="s">
        <v>651</v>
      </c>
      <c r="AB12" s="88"/>
      <c r="AC12" s="303"/>
      <c r="AD12" s="303"/>
      <c r="AE12" s="303"/>
      <c r="AF12" s="303"/>
      <c r="AG12" s="303"/>
      <c r="AH12" s="303"/>
      <c r="AI12" s="303"/>
      <c r="AJ12" s="304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62" t="s">
        <v>105</v>
      </c>
      <c r="G13" s="262"/>
      <c r="H13" s="262"/>
      <c r="I13" s="262"/>
      <c r="J13" s="262"/>
      <c r="K13" s="262"/>
      <c r="L13" s="262"/>
      <c r="M13" s="262"/>
      <c r="N13" s="263"/>
      <c r="O13" s="89" t="s">
        <v>653</v>
      </c>
      <c r="P13" s="32"/>
      <c r="Q13" s="90"/>
      <c r="R13" s="90"/>
      <c r="S13" s="268"/>
      <c r="T13" s="269"/>
      <c r="U13" s="269"/>
      <c r="V13" s="269"/>
      <c r="W13" s="269"/>
      <c r="X13" s="269"/>
      <c r="Y13" s="269"/>
      <c r="Z13" s="270"/>
      <c r="AA13" s="89"/>
      <c r="AB13" s="90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81" t="s">
        <v>265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3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84" t="s">
        <v>655</v>
      </c>
      <c r="C18" s="284"/>
      <c r="D18" s="284"/>
      <c r="E18" s="284"/>
      <c r="F18" s="284"/>
      <c r="G18" s="284"/>
      <c r="H18" s="288" t="s">
        <v>136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85"/>
      <c r="C19" s="286"/>
      <c r="D19" s="286"/>
      <c r="E19" s="286"/>
      <c r="F19" s="286"/>
      <c r="G19" s="287"/>
      <c r="H19" s="321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3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137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138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53" t="s">
        <v>148</v>
      </c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5"/>
      <c r="AK22" s="22"/>
    </row>
    <row r="23" spans="1:52" ht="15.95" customHeight="1">
      <c r="A23" s="20">
        <v>1010</v>
      </c>
      <c r="B23" s="21" t="s">
        <v>139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24" t="s">
        <v>151</v>
      </c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6"/>
      <c r="AK23" s="22"/>
    </row>
    <row r="24" spans="1:52" ht="15.95" customHeight="1">
      <c r="A24" s="20">
        <v>1020</v>
      </c>
      <c r="B24" s="21" t="s">
        <v>936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324" t="s">
        <v>940</v>
      </c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6"/>
      <c r="AK24" s="22"/>
    </row>
    <row r="25" spans="1:52" ht="15.95" customHeight="1">
      <c r="A25" s="20">
        <v>1030</v>
      </c>
      <c r="B25" s="21" t="s">
        <v>140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4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6"/>
      <c r="AK25" s="22"/>
    </row>
    <row r="26" spans="1:52" ht="15.95" customHeight="1">
      <c r="A26" s="20">
        <v>1040</v>
      </c>
      <c r="B26" s="21" t="s">
        <v>141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16" t="s">
        <v>152</v>
      </c>
      <c r="R26" s="317"/>
      <c r="S26" s="317"/>
      <c r="T26" s="317"/>
      <c r="U26" s="317"/>
      <c r="V26" s="317"/>
      <c r="W26" s="317"/>
      <c r="X26" s="317"/>
      <c r="Y26" s="317"/>
      <c r="Z26" s="318"/>
      <c r="AA26" s="84"/>
      <c r="AB26" s="319" t="str">
        <f>IF(Q25="Gerade mit horizontalem Auslauf","mm von erster Stufe bis Ende Plattform", "")</f>
        <v/>
      </c>
      <c r="AC26" s="319"/>
      <c r="AD26" s="319"/>
      <c r="AE26" s="319"/>
      <c r="AF26" s="319"/>
      <c r="AG26" s="319"/>
      <c r="AH26" s="319"/>
      <c r="AI26" s="319"/>
      <c r="AJ26" s="320"/>
      <c r="AK26" s="22"/>
    </row>
    <row r="27" spans="1:52" ht="15.95" customHeight="1">
      <c r="A27" s="20">
        <v>1050</v>
      </c>
      <c r="B27" s="21" t="s">
        <v>142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89" t="s">
        <v>191</v>
      </c>
      <c r="R27" s="290"/>
      <c r="S27" s="290"/>
      <c r="T27" s="290"/>
      <c r="U27" s="290"/>
      <c r="V27" s="290"/>
      <c r="W27" s="290"/>
      <c r="X27" s="290"/>
      <c r="Y27" s="290"/>
      <c r="Z27" s="291"/>
      <c r="AA27" s="84"/>
      <c r="AB27" s="292" t="str">
        <f>IF(Q26="Gerader Überlauf","mm von letzter Stufe bis Ende Plattform", "")</f>
        <v/>
      </c>
      <c r="AC27" s="292"/>
      <c r="AD27" s="292"/>
      <c r="AE27" s="292"/>
      <c r="AF27" s="292"/>
      <c r="AG27" s="292"/>
      <c r="AH27" s="292"/>
      <c r="AI27" s="292"/>
      <c r="AJ27" s="293"/>
      <c r="AK27" s="22"/>
    </row>
    <row r="28" spans="1:52" ht="15.95" customHeight="1">
      <c r="A28" s="20">
        <v>1060</v>
      </c>
      <c r="B28" s="21" t="s">
        <v>143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94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6"/>
      <c r="AK28" s="22"/>
    </row>
    <row r="29" spans="1:52" ht="17.25" customHeight="1">
      <c r="A29" s="20">
        <v>1070</v>
      </c>
      <c r="B29" s="21" t="s">
        <v>298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94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6"/>
      <c r="AK29" s="22"/>
    </row>
    <row r="30" spans="1:52" ht="15.95" customHeight="1">
      <c r="A30" s="20">
        <v>1080</v>
      </c>
      <c r="B30" s="21" t="s">
        <v>144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94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6"/>
      <c r="AK30" s="22"/>
    </row>
    <row r="31" spans="1:52" ht="15.95" customHeight="1">
      <c r="A31" s="20">
        <v>1090</v>
      </c>
      <c r="B31" s="21" t="s">
        <v>145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94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6"/>
      <c r="AK31" s="22"/>
    </row>
    <row r="32" spans="1:52" ht="15.75" customHeight="1">
      <c r="A32" s="20">
        <v>1100</v>
      </c>
      <c r="B32" s="21" t="s">
        <v>728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94" t="s">
        <v>198</v>
      </c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6"/>
      <c r="AK32" s="22"/>
    </row>
    <row r="33" spans="1:37" ht="15.95" customHeight="1">
      <c r="A33" s="20">
        <v>1120</v>
      </c>
      <c r="B33" s="21" t="s">
        <v>735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94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6"/>
      <c r="AK33" s="22"/>
    </row>
    <row r="34" spans="1:37" ht="15.95" customHeight="1">
      <c r="A34" s="20">
        <v>1110</v>
      </c>
      <c r="B34" s="21" t="s">
        <v>924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94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6"/>
      <c r="AK34" s="22"/>
    </row>
    <row r="35" spans="1:37" ht="15.95" customHeight="1">
      <c r="A35" s="20">
        <v>1130</v>
      </c>
      <c r="B35" s="21" t="s">
        <v>146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94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6"/>
      <c r="AK35" s="22"/>
    </row>
    <row r="36" spans="1:37" ht="9.9499999999999993" customHeigh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22"/>
    </row>
    <row r="37" spans="1:37" ht="14.25" customHeight="1">
      <c r="A37" s="20"/>
      <c r="B37" s="70" t="s">
        <v>949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2"/>
    </row>
    <row r="38" spans="1:37" ht="14.25" customHeight="1">
      <c r="A38" s="20">
        <v>1140</v>
      </c>
      <c r="B38" s="21" t="s">
        <v>967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53" t="s">
        <v>1064</v>
      </c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5"/>
      <c r="AK38" s="22"/>
    </row>
    <row r="39" spans="1:37" ht="14.25" hidden="1" customHeight="1">
      <c r="A39" s="20">
        <v>1150</v>
      </c>
      <c r="B39" s="21" t="s">
        <v>968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53" t="s">
        <v>198</v>
      </c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5"/>
      <c r="AK39" s="22"/>
    </row>
    <row r="40" spans="1:37" ht="14.25" hidden="1" customHeight="1">
      <c r="A40" s="20">
        <v>1160</v>
      </c>
      <c r="B40" s="21" t="s">
        <v>969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53" t="s">
        <v>198</v>
      </c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22"/>
    </row>
    <row r="41" spans="1:37" ht="14.25" customHeight="1">
      <c r="A41" s="20">
        <v>1170</v>
      </c>
      <c r="B41" s="21" t="s">
        <v>970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53" t="s">
        <v>1020</v>
      </c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5"/>
      <c r="AK41" s="22"/>
    </row>
    <row r="42" spans="1:37" ht="12" hidden="1" customHeight="1">
      <c r="A42" s="20">
        <v>1180</v>
      </c>
      <c r="B42" s="21" t="s">
        <v>971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330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2"/>
      <c r="AK42" s="22"/>
    </row>
    <row r="43" spans="1:37" ht="14.25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2"/>
    </row>
    <row r="44" spans="1:37" ht="12" customHeight="1">
      <c r="A44" s="20"/>
      <c r="B44" s="71" t="s">
        <v>572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22"/>
    </row>
    <row r="45" spans="1:37" ht="15" customHeight="1">
      <c r="A45" s="20">
        <v>1190</v>
      </c>
      <c r="B45" s="21" t="s">
        <v>160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53" t="s">
        <v>681</v>
      </c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5"/>
      <c r="AK45" s="22"/>
    </row>
    <row r="46" spans="1:37" ht="15" customHeight="1">
      <c r="A46" s="20">
        <v>1200</v>
      </c>
      <c r="B46" s="21" t="s">
        <v>583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53" t="s">
        <v>584</v>
      </c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5"/>
      <c r="AK46" s="22"/>
    </row>
    <row r="47" spans="1:37" ht="15" customHeight="1">
      <c r="A47" s="20">
        <v>1210</v>
      </c>
      <c r="B47" s="21" t="s">
        <v>518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53" t="s">
        <v>525</v>
      </c>
      <c r="R47" s="254"/>
      <c r="S47" s="254"/>
      <c r="T47" s="254"/>
      <c r="U47" s="254"/>
      <c r="V47" s="254"/>
      <c r="W47" s="254"/>
      <c r="X47" s="254"/>
      <c r="Y47" s="254"/>
      <c r="Z47" s="254"/>
      <c r="AA47" s="325"/>
      <c r="AB47" s="325"/>
      <c r="AC47" s="325"/>
      <c r="AD47" s="325"/>
      <c r="AE47" s="325"/>
      <c r="AF47" s="325"/>
      <c r="AG47" s="325"/>
      <c r="AH47" s="325"/>
      <c r="AI47" s="325"/>
      <c r="AJ47" s="326"/>
      <c r="AK47" s="22"/>
    </row>
    <row r="48" spans="1:37" ht="15" customHeight="1">
      <c r="A48" s="20">
        <v>1220</v>
      </c>
      <c r="B48" s="21" t="s">
        <v>519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53" t="s">
        <v>500</v>
      </c>
      <c r="R48" s="254"/>
      <c r="S48" s="254"/>
      <c r="T48" s="254"/>
      <c r="U48" s="254"/>
      <c r="V48" s="254"/>
      <c r="W48" s="254"/>
      <c r="X48" s="254"/>
      <c r="Y48" s="254"/>
      <c r="Z48" s="254"/>
      <c r="AA48" s="45"/>
      <c r="AB48" s="46" t="s">
        <v>501</v>
      </c>
      <c r="AC48" s="47"/>
      <c r="AD48" s="48" t="s">
        <v>478</v>
      </c>
      <c r="AE48" s="48"/>
      <c r="AF48" s="48"/>
      <c r="AG48" s="48"/>
      <c r="AH48" s="48"/>
      <c r="AI48" s="48"/>
      <c r="AJ48" s="49"/>
      <c r="AK48" s="22"/>
    </row>
    <row r="49" spans="1:77" ht="15" customHeight="1">
      <c r="A49" s="20">
        <v>1230</v>
      </c>
      <c r="B49" s="21" t="s">
        <v>520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53" t="s">
        <v>1070</v>
      </c>
      <c r="R49" s="254"/>
      <c r="S49" s="254"/>
      <c r="T49" s="254"/>
      <c r="U49" s="254"/>
      <c r="V49" s="254"/>
      <c r="W49" s="254"/>
      <c r="X49" s="254"/>
      <c r="Y49" s="254"/>
      <c r="Z49" s="254"/>
      <c r="AA49" s="327"/>
      <c r="AB49" s="327"/>
      <c r="AC49" s="327"/>
      <c r="AD49" s="327"/>
      <c r="AE49" s="327"/>
      <c r="AF49" s="327"/>
      <c r="AG49" s="327"/>
      <c r="AH49" s="327"/>
      <c r="AI49" s="327"/>
      <c r="AJ49" s="328"/>
      <c r="AK49" s="22"/>
    </row>
    <row r="50" spans="1:77" ht="15" customHeight="1">
      <c r="A50" s="20">
        <v>1240</v>
      </c>
      <c r="B50" s="21" t="s">
        <v>573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53" t="s">
        <v>516</v>
      </c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 t="s">
        <v>34</v>
      </c>
      <c r="AC50" s="254"/>
      <c r="AD50" s="254" t="s">
        <v>34</v>
      </c>
      <c r="AE50" s="254"/>
      <c r="AF50" s="254"/>
      <c r="AG50" s="254"/>
      <c r="AH50" s="254"/>
      <c r="AI50" s="254"/>
      <c r="AJ50" s="255"/>
      <c r="AK50" s="22"/>
      <c r="AN50" s="63"/>
      <c r="AO50" s="63"/>
      <c r="AP50" s="63"/>
      <c r="AQ50" s="63"/>
      <c r="AR50" s="63"/>
      <c r="AS50" s="63"/>
      <c r="AT50" s="63"/>
      <c r="AU50" s="63"/>
    </row>
    <row r="51" spans="1:77" ht="15" customHeight="1">
      <c r="A51" s="20">
        <v>1250</v>
      </c>
      <c r="B51" s="21" t="s">
        <v>661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53" t="s">
        <v>740</v>
      </c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5"/>
      <c r="AK51" s="22"/>
    </row>
    <row r="52" spans="1:77" ht="15" customHeight="1">
      <c r="A52" s="20">
        <v>1260</v>
      </c>
      <c r="B52" s="33" t="s">
        <v>512</v>
      </c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53" t="s">
        <v>926</v>
      </c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 t="s">
        <v>34</v>
      </c>
      <c r="AC52" s="254"/>
      <c r="AD52" s="254" t="s">
        <v>34</v>
      </c>
      <c r="AE52" s="254"/>
      <c r="AF52" s="254"/>
      <c r="AG52" s="254"/>
      <c r="AH52" s="254"/>
      <c r="AI52" s="254"/>
      <c r="AJ52" s="255"/>
      <c r="AK52" s="22"/>
    </row>
    <row r="53" spans="1:77" ht="15" customHeight="1">
      <c r="A53" s="20">
        <v>1270</v>
      </c>
      <c r="B53" s="33" t="s">
        <v>574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53" t="s">
        <v>925</v>
      </c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5"/>
      <c r="AK53" s="22"/>
    </row>
    <row r="54" spans="1:77" ht="15" hidden="1" customHeight="1">
      <c r="A54" s="20">
        <v>1280</v>
      </c>
      <c r="B54" s="33" t="s">
        <v>575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53" t="s">
        <v>740</v>
      </c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5"/>
      <c r="AK54" s="22"/>
      <c r="AQ54" s="63"/>
    </row>
    <row r="55" spans="1:77" s="16" customFormat="1" ht="15" customHeight="1">
      <c r="A55" s="20">
        <v>1290</v>
      </c>
      <c r="B55" s="33" t="s">
        <v>577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53" t="s">
        <v>587</v>
      </c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5"/>
      <c r="AK55" s="34"/>
      <c r="AL55" s="60"/>
      <c r="AM55" s="59"/>
      <c r="AN55" s="60"/>
      <c r="AO55" s="60"/>
      <c r="AP55" s="60"/>
      <c r="AQ55" s="63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</row>
    <row r="56" spans="1:77" ht="15" customHeight="1">
      <c r="A56" s="20">
        <v>1300</v>
      </c>
      <c r="B56" s="33" t="s">
        <v>578</v>
      </c>
      <c r="C56" s="33"/>
      <c r="D56" s="33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53" t="s">
        <v>207</v>
      </c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5"/>
      <c r="AK56" s="22"/>
      <c r="AQ56" s="63"/>
    </row>
    <row r="57" spans="1:77" ht="14.25" hidden="1" customHeight="1">
      <c r="A57" s="20">
        <v>1310</v>
      </c>
      <c r="B57" s="33" t="s">
        <v>579</v>
      </c>
      <c r="C57" s="33"/>
      <c r="D57" s="33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330" t="s">
        <v>530</v>
      </c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2"/>
      <c r="AK57" s="22"/>
      <c r="AQ57" s="63"/>
    </row>
    <row r="58" spans="1:77" ht="14.25" customHeight="1">
      <c r="A58" s="20">
        <v>1320</v>
      </c>
      <c r="B58" s="33" t="s">
        <v>580</v>
      </c>
      <c r="C58" s="33"/>
      <c r="D58" s="33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53">
        <f>Q35+2</f>
        <v>2</v>
      </c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5"/>
      <c r="AK58" s="22"/>
      <c r="AQ58" s="63"/>
    </row>
    <row r="59" spans="1:77" ht="9.75" hidden="1" customHeight="1">
      <c r="A59" s="20">
        <v>1330</v>
      </c>
      <c r="B59" s="33" t="s">
        <v>581</v>
      </c>
      <c r="C59" s="33"/>
      <c r="D59" s="33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0" t="s">
        <v>536</v>
      </c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2"/>
      <c r="AK59" s="22"/>
      <c r="AQ59" s="63"/>
    </row>
    <row r="60" spans="1:77" ht="15" customHeight="1">
      <c r="A60" s="20">
        <v>1340</v>
      </c>
      <c r="B60" s="33" t="s">
        <v>923</v>
      </c>
      <c r="C60" s="33"/>
      <c r="D60" s="33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53" t="s">
        <v>740</v>
      </c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5"/>
      <c r="AK60" s="22"/>
      <c r="AQ60" s="63"/>
    </row>
    <row r="61" spans="1:77" ht="9.9499999999999993" customHeight="1">
      <c r="A61" s="20"/>
      <c r="B61" s="33"/>
      <c r="C61" s="33"/>
      <c r="D61" s="33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22"/>
      <c r="AQ61" s="63"/>
    </row>
    <row r="62" spans="1:77" ht="12" customHeight="1">
      <c r="A62" s="20"/>
      <c r="B62" s="71" t="s">
        <v>549</v>
      </c>
      <c r="C62" s="33"/>
      <c r="D62" s="3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22"/>
      <c r="AQ62" s="63"/>
    </row>
    <row r="63" spans="1:77" ht="15.75" hidden="1" customHeight="1">
      <c r="A63" s="20">
        <v>1360</v>
      </c>
      <c r="B63" s="33" t="s">
        <v>545</v>
      </c>
      <c r="C63" s="33"/>
      <c r="D63" s="33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351" t="s">
        <v>197</v>
      </c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3"/>
      <c r="AK63" s="22"/>
      <c r="AP63" s="63"/>
      <c r="AQ63" s="63"/>
    </row>
    <row r="64" spans="1:77" ht="15" customHeight="1">
      <c r="A64" s="20">
        <v>1370</v>
      </c>
      <c r="B64" s="33" t="s">
        <v>546</v>
      </c>
      <c r="C64" s="33"/>
      <c r="D64" s="3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53" t="s">
        <v>197</v>
      </c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5"/>
      <c r="AK64" s="22"/>
      <c r="AP64" s="63"/>
      <c r="AQ64" s="63"/>
    </row>
    <row r="65" spans="1:40" ht="15" customHeight="1">
      <c r="A65" s="20">
        <v>1380</v>
      </c>
      <c r="B65" s="33" t="s">
        <v>547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53" t="s">
        <v>197</v>
      </c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5"/>
      <c r="AK65" s="22"/>
    </row>
    <row r="66" spans="1:40" ht="15" customHeight="1">
      <c r="A66" s="20">
        <v>1400</v>
      </c>
      <c r="B66" s="21" t="s">
        <v>548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53" t="s">
        <v>198</v>
      </c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5"/>
      <c r="AK66" s="22"/>
    </row>
    <row r="67" spans="1:40" ht="9.9499999999999993" customHeight="1">
      <c r="A67" s="20"/>
      <c r="B67" s="7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56"/>
    </row>
    <row r="68" spans="1:40" ht="12" customHeight="1">
      <c r="A68" s="20"/>
      <c r="B68" s="71" t="s">
        <v>550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56"/>
    </row>
    <row r="69" spans="1:40" ht="15" customHeight="1">
      <c r="A69" s="20">
        <v>1410</v>
      </c>
      <c r="B69" s="21" t="s">
        <v>921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53" t="s">
        <v>198</v>
      </c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5"/>
      <c r="AK69" s="22"/>
    </row>
    <row r="70" spans="1:40" ht="11.25" hidden="1" customHeight="1">
      <c r="A70" s="20">
        <v>1420</v>
      </c>
      <c r="B70" s="21" t="s">
        <v>984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330" t="s">
        <v>198</v>
      </c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2"/>
      <c r="AK70" s="22"/>
    </row>
    <row r="71" spans="1:40" ht="15" customHeight="1">
      <c r="A71" s="20">
        <v>1430</v>
      </c>
      <c r="B71" s="21" t="s">
        <v>922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53" t="s">
        <v>740</v>
      </c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5"/>
      <c r="AK71" s="22"/>
      <c r="AN71" s="63"/>
    </row>
    <row r="72" spans="1:40" ht="13.5" hidden="1" customHeight="1">
      <c r="A72" s="20">
        <v>1440</v>
      </c>
      <c r="B72" s="21" t="s">
        <v>620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56" t="s">
        <v>685</v>
      </c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8"/>
      <c r="AC72" s="258"/>
      <c r="AD72" s="259" t="s">
        <v>683</v>
      </c>
      <c r="AE72" s="259"/>
      <c r="AF72" s="259"/>
      <c r="AG72" s="259"/>
      <c r="AH72" s="259"/>
      <c r="AI72" s="259"/>
      <c r="AJ72" s="260"/>
      <c r="AK72" s="22"/>
      <c r="AL72" s="64"/>
    </row>
    <row r="73" spans="1:40" ht="15" customHeight="1">
      <c r="A73" s="20">
        <v>1450</v>
      </c>
      <c r="B73" s="21" t="s">
        <v>987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53" t="s">
        <v>198</v>
      </c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5"/>
      <c r="AK73" s="22"/>
      <c r="AL73" s="64"/>
    </row>
    <row r="74" spans="1:40" ht="15" customHeight="1">
      <c r="A74" s="20">
        <v>1460</v>
      </c>
      <c r="B74" s="21" t="s">
        <v>1066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53" t="s">
        <v>198</v>
      </c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5"/>
      <c r="AK74" s="22"/>
      <c r="AL74" s="64"/>
    </row>
    <row r="75" spans="1:40" ht="15" hidden="1" customHeight="1">
      <c r="A75" s="20">
        <v>1470</v>
      </c>
      <c r="B75" s="21" t="s">
        <v>988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53" t="s">
        <v>198</v>
      </c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5"/>
      <c r="AK75" s="22"/>
      <c r="AL75" s="64"/>
    </row>
    <row r="76" spans="1:40" ht="15" hidden="1" customHeight="1">
      <c r="A76" s="20">
        <v>1480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7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4"/>
      <c r="AC76" s="224"/>
      <c r="AD76" s="225"/>
      <c r="AE76" s="225"/>
      <c r="AF76" s="225"/>
      <c r="AG76" s="225"/>
      <c r="AH76" s="225"/>
      <c r="AI76" s="225"/>
      <c r="AJ76" s="226"/>
      <c r="AK76" s="22"/>
    </row>
    <row r="77" spans="1:40" ht="15" hidden="1" customHeight="1">
      <c r="A77" s="20">
        <v>1490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95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  <c r="AC77" s="97"/>
      <c r="AD77" s="98"/>
      <c r="AE77" s="98"/>
      <c r="AF77" s="98"/>
      <c r="AG77" s="98"/>
      <c r="AH77" s="98"/>
      <c r="AI77" s="98"/>
      <c r="AJ77" s="99"/>
      <c r="AK77" s="22"/>
    </row>
    <row r="78" spans="1:40" ht="15" hidden="1" customHeight="1">
      <c r="A78" s="20">
        <v>1500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95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7"/>
      <c r="AC78" s="97"/>
      <c r="AD78" s="98"/>
      <c r="AE78" s="98"/>
      <c r="AF78" s="98"/>
      <c r="AG78" s="98"/>
      <c r="AH78" s="98"/>
      <c r="AI78" s="98"/>
      <c r="AJ78" s="99"/>
      <c r="AK78" s="22"/>
    </row>
    <row r="79" spans="1:40" ht="15" hidden="1" customHeight="1">
      <c r="A79" s="20">
        <v>1510</v>
      </c>
      <c r="B79" s="21" t="s">
        <v>59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354">
        <v>24</v>
      </c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6"/>
      <c r="AC79" s="356"/>
      <c r="AD79" s="357" t="s">
        <v>684</v>
      </c>
      <c r="AE79" s="357"/>
      <c r="AF79" s="357"/>
      <c r="AG79" s="357"/>
      <c r="AH79" s="357"/>
      <c r="AI79" s="357"/>
      <c r="AJ79" s="358"/>
      <c r="AK79" s="22"/>
    </row>
    <row r="80" spans="1:40" ht="15" hidden="1" customHeight="1">
      <c r="A80" s="20">
        <v>1520</v>
      </c>
      <c r="B80" s="21" t="s">
        <v>15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56" t="s">
        <v>685</v>
      </c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359"/>
      <c r="AK80" s="22"/>
    </row>
    <row r="81" spans="1:39" ht="15" customHeight="1">
      <c r="A81" s="20">
        <v>1530</v>
      </c>
      <c r="B81" s="21" t="s">
        <v>1057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1"/>
      <c r="Q81" s="253" t="s">
        <v>198</v>
      </c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5"/>
      <c r="AK81" s="22"/>
    </row>
    <row r="82" spans="1:39" ht="15" customHeight="1">
      <c r="A82" s="20">
        <v>1540</v>
      </c>
      <c r="B82" s="21" t="s">
        <v>169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53" t="s">
        <v>553</v>
      </c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  <c r="AK82" s="22"/>
    </row>
    <row r="83" spans="1:39" ht="12" hidden="1" customHeight="1">
      <c r="A83" s="20">
        <v>1550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30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2"/>
      <c r="AK83" s="22"/>
    </row>
    <row r="84" spans="1:39" ht="12" hidden="1" customHeight="1">
      <c r="A84" s="20">
        <v>1560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92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4"/>
      <c r="AK84" s="22"/>
    </row>
    <row r="85" spans="1:39" ht="15" hidden="1" customHeight="1">
      <c r="A85" s="20">
        <v>1570</v>
      </c>
      <c r="B85" s="21" t="s">
        <v>996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330" t="s">
        <v>198</v>
      </c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2"/>
      <c r="AK85" s="22"/>
    </row>
    <row r="86" spans="1:39" ht="15" hidden="1" customHeight="1">
      <c r="A86" s="20">
        <v>1580</v>
      </c>
      <c r="B86" s="21" t="s">
        <v>998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330" t="s">
        <v>198</v>
      </c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2"/>
      <c r="AK86" s="22"/>
    </row>
    <row r="87" spans="1:39" ht="12" hidden="1" customHeight="1">
      <c r="A87" s="20">
        <v>1590</v>
      </c>
      <c r="B87" s="21" t="s">
        <v>997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330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2"/>
      <c r="AK87" s="22"/>
    </row>
    <row r="88" spans="1:39" ht="9.9499999999999993" customHeight="1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22"/>
    </row>
    <row r="89" spans="1:39" ht="12" customHeight="1">
      <c r="A89" s="20"/>
      <c r="B89" s="71" t="s">
        <v>621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22"/>
    </row>
    <row r="90" spans="1:39" ht="15" customHeight="1">
      <c r="A90" s="20">
        <v>1600</v>
      </c>
      <c r="B90" s="21" t="s">
        <v>622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344" t="s">
        <v>155</v>
      </c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48"/>
      <c r="AD90" s="48" t="str">
        <f>IF(ISNUMBER(FIND("Special",Q90)),"RAL:","")</f>
        <v/>
      </c>
      <c r="AE90" s="254"/>
      <c r="AF90" s="254"/>
      <c r="AG90" s="254"/>
      <c r="AH90" s="254"/>
      <c r="AI90" s="254"/>
      <c r="AJ90" s="255"/>
      <c r="AK90" s="22"/>
      <c r="AM90" s="59" t="str">
        <f>IF(Q22="Im Außenbereich","Bitte denken Sie daran, die Oberflächenbehandlung für den Außenbereich zu wählen.", "")</f>
        <v/>
      </c>
    </row>
    <row r="91" spans="1:39" ht="15" customHeight="1">
      <c r="A91" s="20">
        <v>1610</v>
      </c>
      <c r="B91" s="21" t="s">
        <v>1006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344" t="s">
        <v>155</v>
      </c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48"/>
      <c r="AD91" s="48" t="str">
        <f>IF(ISNUMBER(FIND("Special",Q91)),"RAL:","")</f>
        <v/>
      </c>
      <c r="AE91" s="254"/>
      <c r="AF91" s="254"/>
      <c r="AG91" s="254"/>
      <c r="AH91" s="254"/>
      <c r="AI91" s="254"/>
      <c r="AJ91" s="255"/>
      <c r="AK91" s="22"/>
      <c r="AM91" s="59" t="str">
        <f>IF(Q22="Im Außenbereich","Bitte denken Sie daran, die Oberflächenbehandlung für den Außenbereich zu wählen.", "")</f>
        <v/>
      </c>
    </row>
    <row r="92" spans="1:39" ht="15" customHeight="1">
      <c r="A92" s="20">
        <v>1620</v>
      </c>
      <c r="B92" s="21" t="s">
        <v>623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89" t="s">
        <v>155</v>
      </c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1"/>
      <c r="AC92" s="48"/>
      <c r="AD92" s="48" t="str">
        <f>IF(ISNUMBER(FIND("Special",Q92)),"RAL:","")</f>
        <v/>
      </c>
      <c r="AE92" s="254"/>
      <c r="AF92" s="254"/>
      <c r="AG92" s="254"/>
      <c r="AH92" s="254"/>
      <c r="AI92" s="254"/>
      <c r="AJ92" s="255"/>
      <c r="AK92" s="22"/>
      <c r="AM92" s="59" t="str">
        <f>IF(Q22="Im Außenbereich","Bitte denken Sie daran, die Oberflächenbehandlung für den Außenbereich zu wählen.", "")</f>
        <v/>
      </c>
    </row>
    <row r="93" spans="1:39" ht="15" customHeight="1">
      <c r="A93" s="20">
        <v>1640</v>
      </c>
      <c r="B93" s="21" t="s">
        <v>624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344" t="s">
        <v>556</v>
      </c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48"/>
      <c r="AD93" s="48" t="str">
        <f>IF(ISNUMBER(FIND("Special",Q93)),"RAL:","")</f>
        <v/>
      </c>
      <c r="AE93" s="254"/>
      <c r="AF93" s="254"/>
      <c r="AG93" s="254"/>
      <c r="AH93" s="254"/>
      <c r="AI93" s="254"/>
      <c r="AJ93" s="255"/>
      <c r="AK93" s="22"/>
      <c r="AM93" s="59" t="str">
        <f>IF(Q22="Im Außenbereich","Bitte denken Sie daran, die Oberflächenbehandlung für den Außenbereich zu wählen.", "")</f>
        <v/>
      </c>
    </row>
    <row r="94" spans="1:39" ht="9.9499999999999993" customHeight="1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2"/>
    </row>
    <row r="95" spans="1:39" ht="12" customHeight="1">
      <c r="A95" s="20"/>
      <c r="B95" s="71" t="s">
        <v>178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</row>
    <row r="96" spans="1:39" ht="15" customHeight="1">
      <c r="A96" s="20">
        <v>1650</v>
      </c>
      <c r="B96" s="21" t="s">
        <v>179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53" t="s">
        <v>566</v>
      </c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5"/>
      <c r="AK96" s="22"/>
    </row>
    <row r="97" spans="1:50" ht="15" customHeight="1">
      <c r="A97" s="20">
        <v>1660</v>
      </c>
      <c r="B97" s="21" t="s">
        <v>563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53" t="s">
        <v>635</v>
      </c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5"/>
      <c r="AK97" s="22"/>
    </row>
    <row r="98" spans="1:50" ht="15" customHeight="1">
      <c r="A98" s="20">
        <v>1670</v>
      </c>
      <c r="B98" s="21" t="s">
        <v>564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53" t="s">
        <v>197</v>
      </c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5"/>
      <c r="AK98" s="22"/>
    </row>
    <row r="99" spans="1:50" ht="15" hidden="1" customHeight="1">
      <c r="A99" s="20">
        <v>1680</v>
      </c>
      <c r="B99" s="21" t="s">
        <v>1010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330" t="s">
        <v>198</v>
      </c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2"/>
      <c r="AK99" s="22"/>
    </row>
    <row r="100" spans="1:50" ht="15" hidden="1" customHeight="1">
      <c r="A100" s="20">
        <v>1690</v>
      </c>
      <c r="B100" s="21" t="s">
        <v>562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330" t="s">
        <v>641</v>
      </c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2"/>
      <c r="AK100" s="22"/>
    </row>
    <row r="101" spans="1:50" ht="15" hidden="1" customHeight="1">
      <c r="A101" s="20">
        <v>1700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330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2"/>
      <c r="AK101" s="22"/>
    </row>
    <row r="102" spans="1:50" ht="15" hidden="1" customHeight="1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197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9"/>
      <c r="AK102" s="22"/>
    </row>
    <row r="103" spans="1:50" ht="9.9499999999999993" customHeight="1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2"/>
    </row>
    <row r="104" spans="1:50" ht="13.5" customHeight="1">
      <c r="A104" s="20"/>
      <c r="B104" s="71" t="s">
        <v>183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2"/>
      <c r="AN104" s="63"/>
      <c r="AO104" s="63"/>
      <c r="AP104" s="63"/>
      <c r="AQ104" s="63"/>
      <c r="AR104" s="63"/>
      <c r="AS104" s="63"/>
      <c r="AT104" s="63"/>
      <c r="AU104" s="63"/>
    </row>
    <row r="105" spans="1:50" ht="5.25" customHeight="1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36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2"/>
      <c r="AN105" s="63"/>
      <c r="AO105" s="63"/>
      <c r="AP105" s="63"/>
      <c r="AQ105" s="63"/>
      <c r="AR105" s="63"/>
      <c r="AS105" s="63"/>
      <c r="AT105" s="63"/>
      <c r="AU105" s="63"/>
    </row>
    <row r="106" spans="1:50" ht="13.5" customHeight="1">
      <c r="A106" s="20">
        <v>1710</v>
      </c>
      <c r="B106" s="335"/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7"/>
      <c r="AK106" s="22"/>
      <c r="AN106" s="63"/>
      <c r="AO106" s="63"/>
      <c r="AP106" s="63"/>
      <c r="AQ106" s="63"/>
      <c r="AR106" s="63"/>
      <c r="AS106" s="63"/>
      <c r="AT106" s="63"/>
      <c r="AU106" s="63"/>
    </row>
    <row r="107" spans="1:50" ht="13.5" customHeight="1">
      <c r="A107" s="20"/>
      <c r="B107" s="338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39"/>
      <c r="U107" s="339"/>
      <c r="V107" s="339"/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339"/>
      <c r="AG107" s="339"/>
      <c r="AH107" s="339"/>
      <c r="AI107" s="339"/>
      <c r="AJ107" s="340"/>
      <c r="AK107" s="22"/>
      <c r="AN107" s="63"/>
      <c r="AO107" s="63"/>
      <c r="AP107" s="63"/>
      <c r="AQ107" s="63"/>
      <c r="AR107" s="63"/>
      <c r="AS107" s="63"/>
      <c r="AT107" s="63"/>
      <c r="AU107" s="63"/>
    </row>
    <row r="108" spans="1:50" ht="13.5" customHeight="1">
      <c r="A108" s="20"/>
      <c r="B108" s="338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/>
      <c r="AJ108" s="340"/>
      <c r="AK108" s="22"/>
      <c r="AN108" s="63"/>
      <c r="AO108" s="63"/>
      <c r="AP108" s="63"/>
      <c r="AQ108" s="63"/>
      <c r="AR108" s="63"/>
      <c r="AS108" s="63"/>
      <c r="AT108" s="63"/>
      <c r="AU108" s="63"/>
    </row>
    <row r="109" spans="1:50" ht="13.5" customHeight="1">
      <c r="A109" s="20"/>
      <c r="B109" s="338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40"/>
      <c r="AK109" s="22"/>
      <c r="AN109" s="63"/>
      <c r="AO109" s="63"/>
      <c r="AP109" s="63"/>
      <c r="AQ109" s="63"/>
      <c r="AR109" s="63"/>
      <c r="AS109" s="63"/>
      <c r="AT109" s="63"/>
      <c r="AU109" s="63"/>
    </row>
    <row r="110" spans="1:50" ht="13.5" hidden="1" customHeight="1">
      <c r="A110" s="20"/>
      <c r="B110" s="338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39"/>
      <c r="U110" s="339"/>
      <c r="V110" s="339"/>
      <c r="W110" s="339"/>
      <c r="X110" s="339"/>
      <c r="Y110" s="339"/>
      <c r="Z110" s="339"/>
      <c r="AA110" s="339"/>
      <c r="AB110" s="339"/>
      <c r="AC110" s="339"/>
      <c r="AD110" s="339"/>
      <c r="AE110" s="339"/>
      <c r="AF110" s="339"/>
      <c r="AG110" s="339"/>
      <c r="AH110" s="339"/>
      <c r="AI110" s="339"/>
      <c r="AJ110" s="340"/>
      <c r="AK110" s="22"/>
      <c r="AN110" s="63"/>
      <c r="AO110" s="63"/>
      <c r="AS110" s="58"/>
      <c r="AT110" s="58"/>
      <c r="AU110" s="58"/>
      <c r="AV110" s="58"/>
      <c r="AW110" s="58"/>
      <c r="AX110" s="58"/>
    </row>
    <row r="111" spans="1:50" ht="13.5" customHeight="1">
      <c r="A111" s="20"/>
      <c r="B111" s="341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3"/>
      <c r="AK111" s="22"/>
      <c r="AN111" s="63"/>
      <c r="AO111" s="63"/>
      <c r="AS111" s="58"/>
      <c r="AT111" s="58"/>
      <c r="AU111" s="58"/>
      <c r="AV111" s="58"/>
      <c r="AW111" s="58"/>
      <c r="AX111" s="58"/>
    </row>
    <row r="112" spans="1:50" ht="6.95" customHeight="1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2"/>
      <c r="AN112" s="63"/>
      <c r="AO112" s="63"/>
      <c r="AS112" s="58"/>
      <c r="AT112" s="58"/>
      <c r="AU112" s="58"/>
      <c r="AV112" s="58"/>
      <c r="AW112" s="58"/>
      <c r="AX112" s="58"/>
    </row>
    <row r="113" spans="1:50" ht="19.5" customHeight="1">
      <c r="A113" s="20">
        <v>240</v>
      </c>
      <c r="B113" s="21" t="s">
        <v>476</v>
      </c>
      <c r="C113" s="21"/>
      <c r="D113" s="21"/>
      <c r="E113" s="21"/>
      <c r="F113" s="21"/>
      <c r="G113" s="21"/>
      <c r="H113" s="333" t="s">
        <v>453</v>
      </c>
      <c r="I113" s="334"/>
      <c r="J113" s="334"/>
      <c r="K113" s="334"/>
      <c r="L113" s="348" t="s">
        <v>556</v>
      </c>
      <c r="M113" s="349"/>
      <c r="N113" s="348">
        <v>2019</v>
      </c>
      <c r="O113" s="350"/>
      <c r="P113" s="349"/>
      <c r="Q113" s="21"/>
      <c r="R113" s="21"/>
      <c r="S113" s="21"/>
      <c r="T113" s="21"/>
      <c r="U113" s="21"/>
      <c r="V113" s="67" t="s">
        <v>571</v>
      </c>
      <c r="W113" s="21"/>
      <c r="X113" s="21"/>
      <c r="Y113" s="21"/>
      <c r="Z113" s="345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7"/>
      <c r="AK113" s="22"/>
      <c r="AN113" s="63"/>
      <c r="AO113" s="63"/>
      <c r="AS113" s="58"/>
      <c r="AT113" s="58"/>
      <c r="AU113" s="58"/>
      <c r="AV113" s="58"/>
      <c r="AW113" s="58"/>
      <c r="AX113" s="58"/>
    </row>
    <row r="114" spans="1:50" ht="12" customHeight="1" thickBot="1">
      <c r="A114" s="38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7"/>
      <c r="AN114" s="63"/>
      <c r="AO114" s="63"/>
      <c r="AS114" s="58"/>
      <c r="AT114" s="58"/>
      <c r="AU114" s="58"/>
      <c r="AV114" s="58"/>
      <c r="AW114" s="58"/>
      <c r="AX114" s="58"/>
    </row>
    <row r="115" spans="1:50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50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50" s="58" customFormat="1" ht="20.25" customHeight="1">
      <c r="A117" s="57"/>
      <c r="AM117" s="59"/>
      <c r="AN117" s="60"/>
      <c r="AO117" s="60"/>
      <c r="AP117" s="60"/>
      <c r="AQ117" s="60"/>
      <c r="AR117" s="60"/>
    </row>
    <row r="118" spans="1:50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50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50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50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50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50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50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50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50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50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50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 ht="13.5" customHeight="1">
      <c r="A169" s="57"/>
      <c r="AM169" s="59"/>
      <c r="AN169" s="60"/>
      <c r="AO169" s="60"/>
      <c r="AP169" s="60"/>
      <c r="AQ169" s="60"/>
      <c r="AR169" s="60"/>
    </row>
    <row r="170" spans="1:44" s="58" customFormat="1" ht="13.5" customHeight="1">
      <c r="A170" s="57"/>
      <c r="AM170" s="59"/>
      <c r="AN170" s="60"/>
      <c r="AO170" s="60"/>
      <c r="AP170" s="60"/>
      <c r="AQ170" s="60"/>
      <c r="AR170" s="60"/>
    </row>
    <row r="171" spans="1:44" s="58" customFormat="1" ht="13.5" customHeight="1">
      <c r="A171" s="57"/>
      <c r="AM171" s="59"/>
      <c r="AN171" s="60"/>
      <c r="AO171" s="60"/>
      <c r="AP171" s="60"/>
      <c r="AQ171" s="60"/>
      <c r="AR171" s="60"/>
    </row>
    <row r="172" spans="1:44" s="58" customFormat="1" ht="13.5" customHeight="1">
      <c r="A172" s="57"/>
      <c r="AM172" s="59"/>
      <c r="AN172" s="60"/>
      <c r="AO172" s="60"/>
      <c r="AP172" s="60"/>
      <c r="AQ172" s="60"/>
      <c r="AR172" s="60"/>
    </row>
    <row r="173" spans="1:44" s="58" customFormat="1" ht="13.5" customHeight="1">
      <c r="A173" s="57"/>
      <c r="AM173" s="59"/>
      <c r="AN173" s="60"/>
      <c r="AO173" s="60"/>
      <c r="AP173" s="60"/>
      <c r="AQ173" s="60"/>
      <c r="AR173" s="60"/>
    </row>
    <row r="174" spans="1:44" s="58" customFormat="1" ht="13.5" customHeight="1">
      <c r="A174" s="57"/>
      <c r="AM174" s="59"/>
      <c r="AN174" s="60"/>
      <c r="AO174" s="60"/>
      <c r="AP174" s="60"/>
      <c r="AQ174" s="60"/>
      <c r="AR174" s="60"/>
    </row>
    <row r="175" spans="1:44" s="58" customFormat="1" ht="13.5" customHeight="1">
      <c r="A175" s="57"/>
      <c r="AM175" s="59"/>
      <c r="AN175" s="60"/>
      <c r="AO175" s="60"/>
      <c r="AP175" s="60"/>
      <c r="AQ175" s="60"/>
      <c r="AR175" s="60"/>
    </row>
    <row r="176" spans="1:44" s="58" customFormat="1" ht="13.5" customHeight="1">
      <c r="A176" s="57"/>
      <c r="AM176" s="59"/>
      <c r="AN176" s="60"/>
      <c r="AO176" s="60"/>
      <c r="AP176" s="60"/>
      <c r="AQ176" s="60"/>
      <c r="AR176" s="60"/>
    </row>
    <row r="177" spans="1:44" s="58" customFormat="1" ht="13.5" customHeight="1">
      <c r="A177" s="57"/>
      <c r="AM177" s="59"/>
      <c r="AN177" s="60"/>
      <c r="AO177" s="60"/>
      <c r="AP177" s="60"/>
      <c r="AQ177" s="60"/>
      <c r="AR177" s="60"/>
    </row>
    <row r="178" spans="1:44" s="58" customFormat="1" ht="13.5" customHeight="1">
      <c r="A178" s="57"/>
      <c r="AM178" s="59"/>
      <c r="AN178" s="60"/>
      <c r="AO178" s="60"/>
      <c r="AP178" s="60"/>
      <c r="AQ178" s="60"/>
      <c r="AR178" s="60"/>
    </row>
    <row r="179" spans="1:44" s="58" customFormat="1" ht="13.5" customHeight="1">
      <c r="A179" s="57"/>
      <c r="AM179" s="59"/>
      <c r="AN179" s="60"/>
      <c r="AO179" s="60"/>
      <c r="AP179" s="60"/>
      <c r="AQ179" s="60"/>
      <c r="AR179" s="60"/>
    </row>
    <row r="180" spans="1:44" s="58" customFormat="1" ht="13.5" customHeight="1">
      <c r="A180" s="57"/>
      <c r="AM180" s="59"/>
      <c r="AN180" s="60"/>
      <c r="AO180" s="60"/>
      <c r="AP180" s="60"/>
      <c r="AQ180" s="60"/>
      <c r="AR180" s="60"/>
    </row>
    <row r="181" spans="1:44" s="58" customFormat="1" ht="13.5" customHeight="1">
      <c r="A181" s="57"/>
      <c r="AM181" s="59"/>
      <c r="AN181" s="60"/>
      <c r="AO181" s="60"/>
      <c r="AP181" s="60"/>
      <c r="AQ181" s="60"/>
      <c r="AR181" s="60"/>
    </row>
    <row r="182" spans="1:44" s="58" customFormat="1" ht="13.5" customHeight="1">
      <c r="A182" s="57"/>
      <c r="AM182" s="59"/>
      <c r="AN182" s="60"/>
      <c r="AO182" s="60"/>
      <c r="AP182" s="60"/>
      <c r="AQ182" s="60"/>
      <c r="AR182" s="60"/>
    </row>
    <row r="183" spans="1:44" s="58" customFormat="1" ht="13.5" customHeight="1">
      <c r="A183" s="57"/>
      <c r="AM183" s="59"/>
      <c r="AN183" s="60"/>
      <c r="AO183" s="60"/>
      <c r="AP183" s="60"/>
      <c r="AQ183" s="60"/>
      <c r="AR183" s="60"/>
    </row>
    <row r="184" spans="1:44" s="58" customFormat="1" ht="13.5" customHeight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>
      <c r="A188" s="57"/>
      <c r="AM188" s="59"/>
      <c r="AN188" s="60"/>
      <c r="AO188" s="60"/>
      <c r="AP188" s="60"/>
      <c r="AQ188" s="60"/>
      <c r="AR188" s="60"/>
    </row>
    <row r="189" spans="1:44" s="58" customFormat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 hidden="1">
      <c r="A198" s="57"/>
      <c r="AM198" s="59"/>
      <c r="AN198" s="60"/>
      <c r="AO198" s="60"/>
      <c r="AP198" s="60"/>
      <c r="AQ198" s="60"/>
      <c r="AR198" s="60"/>
    </row>
    <row r="199" spans="1:44" s="58" customFormat="1" hidden="1">
      <c r="A199" s="57"/>
      <c r="AM199" s="59"/>
      <c r="AN199" s="60"/>
      <c r="AO199" s="60"/>
      <c r="AP199" s="60"/>
      <c r="AQ199" s="60"/>
      <c r="AR199" s="60"/>
    </row>
    <row r="200" spans="1:44" s="58" customFormat="1" hidden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 hidden="1">
      <c r="A204" s="57"/>
      <c r="AM204" s="59"/>
      <c r="AN204" s="60"/>
      <c r="AO204" s="60"/>
      <c r="AP204" s="60"/>
      <c r="AQ204" s="60"/>
      <c r="AR204" s="60"/>
    </row>
    <row r="205" spans="1:44" s="58" customFormat="1" hidden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44" s="58" customFormat="1">
      <c r="A273" s="57"/>
      <c r="AM273" s="59"/>
      <c r="AN273" s="60"/>
      <c r="AO273" s="60"/>
      <c r="AP273" s="60"/>
      <c r="AQ273" s="60"/>
      <c r="AR273" s="60"/>
    </row>
    <row r="274" spans="1:44" s="58" customFormat="1">
      <c r="A274" s="57"/>
      <c r="AM274" s="59"/>
      <c r="AN274" s="60"/>
      <c r="AO274" s="60"/>
      <c r="AP274" s="60"/>
      <c r="AQ274" s="60"/>
      <c r="AR274" s="60"/>
    </row>
    <row r="275" spans="1:44" s="58" customFormat="1">
      <c r="A275" s="57"/>
      <c r="AM275" s="59"/>
      <c r="AN275" s="60"/>
      <c r="AO275" s="60"/>
      <c r="AP275" s="60"/>
      <c r="AQ275" s="60"/>
      <c r="AR275" s="60"/>
    </row>
    <row r="276" spans="1:44" s="58" customFormat="1">
      <c r="A276" s="57"/>
      <c r="AM276" s="59"/>
      <c r="AN276" s="60"/>
      <c r="AO276" s="60"/>
      <c r="AP276" s="60"/>
      <c r="AQ276" s="60"/>
      <c r="AR276" s="60"/>
    </row>
    <row r="277" spans="1:44" s="58" customFormat="1">
      <c r="A277" s="57"/>
      <c r="AM277" s="59"/>
      <c r="AN277" s="60"/>
      <c r="AO277" s="60"/>
      <c r="AP277" s="60"/>
      <c r="AQ277" s="60"/>
      <c r="AR277" s="60"/>
    </row>
    <row r="278" spans="1:44" s="58" customFormat="1">
      <c r="A278" s="57"/>
      <c r="AM278" s="59"/>
      <c r="AN278" s="60"/>
      <c r="AO278" s="60"/>
      <c r="AP278" s="60"/>
      <c r="AQ278" s="60"/>
      <c r="AR278" s="60"/>
    </row>
    <row r="279" spans="1:44" s="58" customFormat="1">
      <c r="A279" s="57"/>
      <c r="AM279" s="59"/>
      <c r="AN279" s="60"/>
      <c r="AO279" s="60"/>
      <c r="AP279" s="60"/>
      <c r="AQ279" s="60"/>
      <c r="AR279" s="60"/>
    </row>
    <row r="280" spans="1:44" s="58" customFormat="1">
      <c r="A280" s="57"/>
      <c r="AM280" s="59"/>
      <c r="AN280" s="60"/>
      <c r="AO280" s="60"/>
      <c r="AP280" s="60"/>
      <c r="AQ280" s="60"/>
      <c r="AR280" s="60"/>
    </row>
    <row r="281" spans="1:44" s="58" customFormat="1">
      <c r="A281" s="57"/>
      <c r="AM281" s="59"/>
      <c r="AN281" s="60"/>
      <c r="AO281" s="60"/>
      <c r="AP281" s="60"/>
      <c r="AQ281" s="60"/>
      <c r="AR281" s="60"/>
    </row>
    <row r="282" spans="1:44" s="58" customFormat="1">
      <c r="A282" s="57"/>
      <c r="AM282" s="59"/>
      <c r="AN282" s="60"/>
      <c r="AO282" s="60"/>
      <c r="AP282" s="60"/>
      <c r="AQ282" s="60"/>
      <c r="AR282" s="60"/>
    </row>
    <row r="283" spans="1:44" s="58" customFormat="1">
      <c r="A283" s="57"/>
      <c r="AM283" s="59"/>
      <c r="AN283" s="60"/>
      <c r="AO283" s="60"/>
      <c r="AP283" s="60"/>
      <c r="AQ283" s="60"/>
      <c r="AR283" s="60"/>
    </row>
    <row r="284" spans="1:44" s="58" customFormat="1">
      <c r="A284" s="57"/>
      <c r="AM284" s="59"/>
      <c r="AN284" s="60"/>
      <c r="AO284" s="60"/>
      <c r="AP284" s="60"/>
      <c r="AQ284" s="60"/>
      <c r="AR284" s="60"/>
    </row>
    <row r="285" spans="1:44" s="58" customFormat="1">
      <c r="A285" s="57"/>
      <c r="AM285" s="59"/>
      <c r="AN285" s="60"/>
      <c r="AO285" s="60"/>
      <c r="AP285" s="60"/>
      <c r="AQ285" s="60"/>
      <c r="AR285" s="60"/>
    </row>
    <row r="286" spans="1:44" s="58" customFormat="1">
      <c r="A286" s="57"/>
      <c r="AM286" s="59"/>
      <c r="AN286" s="60"/>
      <c r="AO286" s="60"/>
      <c r="AP286" s="60"/>
      <c r="AQ286" s="60"/>
      <c r="AR286" s="60"/>
    </row>
    <row r="287" spans="1:44" s="58" customFormat="1">
      <c r="A287" s="57"/>
      <c r="AM287" s="59"/>
      <c r="AN287" s="60"/>
      <c r="AO287" s="60"/>
      <c r="AP287" s="60"/>
      <c r="AQ287" s="60"/>
      <c r="AR287" s="60"/>
    </row>
    <row r="288" spans="1:44" s="58" customFormat="1">
      <c r="A288" s="57"/>
      <c r="AM288" s="59"/>
      <c r="AN288" s="60"/>
      <c r="AO288" s="60"/>
      <c r="AP288" s="60"/>
      <c r="AQ288" s="60"/>
      <c r="AR288" s="60"/>
    </row>
    <row r="289" spans="1:50" s="58" customFormat="1">
      <c r="A289" s="57"/>
      <c r="AM289" s="59"/>
      <c r="AN289" s="60"/>
      <c r="AO289" s="60"/>
      <c r="AP289" s="60"/>
      <c r="AQ289" s="60"/>
      <c r="AR289" s="60"/>
    </row>
    <row r="290" spans="1:50" s="58" customFormat="1">
      <c r="A290" s="57"/>
      <c r="AM290" s="59"/>
      <c r="AN290" s="60"/>
      <c r="AO290" s="60"/>
      <c r="AP290" s="60"/>
      <c r="AQ290" s="60"/>
      <c r="AR290" s="60"/>
    </row>
    <row r="291" spans="1:50" s="58" customFormat="1">
      <c r="A291" s="57"/>
      <c r="AM291" s="59"/>
      <c r="AN291" s="60"/>
      <c r="AO291" s="60"/>
      <c r="AP291" s="60"/>
      <c r="AQ291" s="60"/>
      <c r="AR291" s="60"/>
    </row>
    <row r="292" spans="1:50" s="58" customFormat="1">
      <c r="A292" s="57"/>
      <c r="AM292" s="59"/>
      <c r="AN292" s="60"/>
      <c r="AO292" s="60"/>
      <c r="AP292" s="60"/>
      <c r="AQ292" s="60"/>
      <c r="AR292" s="60"/>
    </row>
    <row r="293" spans="1:50" s="58" customFormat="1">
      <c r="A293" s="57"/>
      <c r="AM293" s="59"/>
      <c r="AN293" s="60"/>
      <c r="AO293" s="60"/>
      <c r="AP293" s="60"/>
      <c r="AQ293" s="60"/>
      <c r="AR293" s="60"/>
    </row>
    <row r="294" spans="1:50" s="58" customFormat="1">
      <c r="A294" s="57"/>
      <c r="AM294" s="59"/>
      <c r="AN294" s="60"/>
      <c r="AO294" s="60"/>
      <c r="AP294" s="60"/>
      <c r="AQ294" s="60"/>
      <c r="AR294" s="60"/>
    </row>
    <row r="295" spans="1:50" s="58" customFormat="1">
      <c r="A295" s="57"/>
      <c r="AM295" s="59"/>
      <c r="AN295" s="60"/>
      <c r="AO295" s="60"/>
      <c r="AP295" s="60"/>
      <c r="AQ295" s="60"/>
      <c r="AR295" s="60"/>
    </row>
    <row r="296" spans="1:50" s="58" customFormat="1">
      <c r="A296" s="57"/>
      <c r="AM296" s="59"/>
      <c r="AN296" s="60"/>
      <c r="AO296" s="60"/>
      <c r="AP296" s="60"/>
      <c r="AQ296" s="60"/>
      <c r="AR296" s="60"/>
    </row>
    <row r="297" spans="1:50" s="58" customFormat="1">
      <c r="A297" s="57"/>
      <c r="AM297" s="59"/>
      <c r="AN297" s="60"/>
      <c r="AO297" s="60"/>
      <c r="AP297" s="60"/>
      <c r="AQ297" s="60"/>
      <c r="AR297" s="60"/>
    </row>
    <row r="298" spans="1:50">
      <c r="AS298" s="58"/>
      <c r="AT298" s="58"/>
      <c r="AU298" s="58"/>
      <c r="AV298" s="58"/>
      <c r="AW298" s="58"/>
      <c r="AX298" s="58"/>
    </row>
    <row r="299" spans="1:50">
      <c r="AS299" s="58"/>
      <c r="AT299" s="58"/>
      <c r="AU299" s="58"/>
      <c r="AV299" s="58"/>
      <c r="AW299" s="58"/>
      <c r="AX299" s="58"/>
    </row>
  </sheetData>
  <sheetProtection password="D36F" sheet="1" objects="1" scenarios="1" selectLockedCells="1"/>
  <dataConsolidate/>
  <mergeCells count="120">
    <mergeCell ref="Q69:AJ69"/>
    <mergeCell ref="Q63:AJ63"/>
    <mergeCell ref="Q66:AJ66"/>
    <mergeCell ref="Q99:AJ99"/>
    <mergeCell ref="Q82:AJ82"/>
    <mergeCell ref="Q83:AJ83"/>
    <mergeCell ref="Q79:AA79"/>
    <mergeCell ref="AB79:AC79"/>
    <mergeCell ref="AD79:AJ79"/>
    <mergeCell ref="Q81:AJ81"/>
    <mergeCell ref="Q80:AJ80"/>
    <mergeCell ref="Q90:AB90"/>
    <mergeCell ref="Q92:AB92"/>
    <mergeCell ref="AE90:AJ90"/>
    <mergeCell ref="AE92:AJ92"/>
    <mergeCell ref="Q87:AJ87"/>
    <mergeCell ref="Q70:AJ70"/>
    <mergeCell ref="Q73:AJ73"/>
    <mergeCell ref="Q74:AJ74"/>
    <mergeCell ref="Q75:AJ75"/>
    <mergeCell ref="Q85:AJ85"/>
    <mergeCell ref="Q86:AJ86"/>
    <mergeCell ref="Q91:AB91"/>
    <mergeCell ref="AE91:AJ91"/>
    <mergeCell ref="H113:K113"/>
    <mergeCell ref="B106:AJ111"/>
    <mergeCell ref="Q100:AJ100"/>
    <mergeCell ref="Q93:AB93"/>
    <mergeCell ref="AE93:AJ93"/>
    <mergeCell ref="Q98:AJ98"/>
    <mergeCell ref="Q101:AJ101"/>
    <mergeCell ref="Z113:AJ113"/>
    <mergeCell ref="L113:M113"/>
    <mergeCell ref="N113:P113"/>
    <mergeCell ref="Q97:AJ97"/>
    <mergeCell ref="Q96:AJ96"/>
    <mergeCell ref="Q50:AJ50"/>
    <mergeCell ref="Q51:AJ51"/>
    <mergeCell ref="Q59:AJ59"/>
    <mergeCell ref="Q60:AJ60"/>
    <mergeCell ref="Q64:AJ64"/>
    <mergeCell ref="Q65:AJ65"/>
    <mergeCell ref="Q45:AJ45"/>
    <mergeCell ref="Q47:AJ47"/>
    <mergeCell ref="Q46:AJ46"/>
    <mergeCell ref="Q57:AJ57"/>
    <mergeCell ref="Q53:AJ53"/>
    <mergeCell ref="Q54:AJ54"/>
    <mergeCell ref="Q58:AJ58"/>
    <mergeCell ref="Q56:AJ56"/>
    <mergeCell ref="Q26:Z26"/>
    <mergeCell ref="AB26:AJ26"/>
    <mergeCell ref="H19:AJ19"/>
    <mergeCell ref="Q23:AJ23"/>
    <mergeCell ref="Q25:AJ25"/>
    <mergeCell ref="Q49:AJ49"/>
    <mergeCell ref="Q44:AJ44"/>
    <mergeCell ref="Q48:Z48"/>
    <mergeCell ref="Q28:AJ28"/>
    <mergeCell ref="Q29:AJ29"/>
    <mergeCell ref="Q30:AJ30"/>
    <mergeCell ref="Q32:AJ32"/>
    <mergeCell ref="Q41:AJ41"/>
    <mergeCell ref="Q42:AJ42"/>
    <mergeCell ref="Q40:AJ40"/>
    <mergeCell ref="Q36:AJ36"/>
    <mergeCell ref="Q34:AJ34"/>
    <mergeCell ref="Q24:AJ24"/>
    <mergeCell ref="Q31:AJ31"/>
    <mergeCell ref="Q38:AJ38"/>
    <mergeCell ref="Q39:AJ39"/>
    <mergeCell ref="Q33:AJ3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F6:N6"/>
    <mergeCell ref="S6:Z6"/>
    <mergeCell ref="F7:N7"/>
    <mergeCell ref="S7:Z7"/>
    <mergeCell ref="M2:AB2"/>
    <mergeCell ref="Q71:AJ71"/>
    <mergeCell ref="Q72:AA72"/>
    <mergeCell ref="AB72:AC72"/>
    <mergeCell ref="AD72:AJ72"/>
    <mergeCell ref="M3:AB3"/>
    <mergeCell ref="F13:N13"/>
    <mergeCell ref="AC13:AJ13"/>
    <mergeCell ref="Q55:AJ55"/>
    <mergeCell ref="F14:N14"/>
    <mergeCell ref="S13:Z13"/>
    <mergeCell ref="Q22:AJ22"/>
    <mergeCell ref="S14:Z14"/>
    <mergeCell ref="AC14:AJ14"/>
    <mergeCell ref="F15:N15"/>
    <mergeCell ref="AC15:AJ15"/>
    <mergeCell ref="S15:Z15"/>
    <mergeCell ref="B16:AJ16"/>
    <mergeCell ref="B18:G18"/>
    <mergeCell ref="Q52:AJ52"/>
    <mergeCell ref="B19:G19"/>
    <mergeCell ref="H18:AJ18"/>
    <mergeCell ref="Q27:Z27"/>
    <mergeCell ref="AB27:AJ27"/>
    <mergeCell ref="Q35:AJ35"/>
  </mergeCells>
  <conditionalFormatting sqref="AA114:AB114 AA112:AB112">
    <cfRule type="expression" dxfId="30" priority="90">
      <formula>$Q$65&lt;&gt;"special RAL"</formula>
    </cfRule>
  </conditionalFormatting>
  <conditionalFormatting sqref="AA104:AB105">
    <cfRule type="expression" dxfId="29" priority="89">
      <formula>$Q$65&lt;&gt;"special RAL"</formula>
    </cfRule>
  </conditionalFormatting>
  <conditionalFormatting sqref="AM211:AM1048576">
    <cfRule type="expression" dxfId="28" priority="54">
      <formula>$AM$19:$AM$114=0</formula>
    </cfRule>
  </conditionalFormatting>
  <conditionalFormatting sqref="AA48:AJ48">
    <cfRule type="expression" dxfId="27" priority="53">
      <formula>$Q$48&lt;&gt;"special"</formula>
    </cfRule>
  </conditionalFormatting>
  <conditionalFormatting sqref="AC90">
    <cfRule type="expression" dxfId="26" priority="49">
      <formula>OR($Q$90&lt;&gt;"zinc + special RAL", $Q$90&lt;&gt;"galvanisé + special RAL")</formula>
    </cfRule>
  </conditionalFormatting>
  <conditionalFormatting sqref="AC93">
    <cfRule type="expression" dxfId="25" priority="46">
      <formula>$Q$93&lt;&gt;"zinc + special RAL"</formula>
    </cfRule>
  </conditionalFormatting>
  <conditionalFormatting sqref="AC92">
    <cfRule type="expression" dxfId="24" priority="44">
      <formula>$Q$92&lt;&gt;"zinc + special RAL (outdoor special)"</formula>
    </cfRule>
  </conditionalFormatting>
  <conditionalFormatting sqref="S12:Z13 Q32">
    <cfRule type="expression" dxfId="23" priority="30">
      <formula>ISBLANK(Q12)</formula>
    </cfRule>
  </conditionalFormatting>
  <conditionalFormatting sqref="H19">
    <cfRule type="expression" dxfId="22" priority="28">
      <formula>ISBLANK(H19)</formula>
    </cfRule>
  </conditionalFormatting>
  <conditionalFormatting sqref="Q25">
    <cfRule type="expression" dxfId="21" priority="27">
      <formula>ISBLANK(Q25)</formula>
    </cfRule>
  </conditionalFormatting>
  <conditionalFormatting sqref="AD72">
    <cfRule type="expression" dxfId="20" priority="23">
      <formula>$Q$72="none"</formula>
    </cfRule>
  </conditionalFormatting>
  <conditionalFormatting sqref="L113:M113">
    <cfRule type="expression" dxfId="19" priority="21">
      <formula>L113="-"</formula>
    </cfRule>
  </conditionalFormatting>
  <conditionalFormatting sqref="Q34:Q35">
    <cfRule type="expression" dxfId="18" priority="19">
      <formula>ISBLANK(Q34)</formula>
    </cfRule>
  </conditionalFormatting>
  <conditionalFormatting sqref="AC7:AJ7 AC6 AC8:AC12">
    <cfRule type="expression" dxfId="17" priority="18">
      <formula>ISBLANK(AC6)</formula>
    </cfRule>
  </conditionalFormatting>
  <conditionalFormatting sqref="Q33">
    <cfRule type="expression" dxfId="16" priority="17">
      <formula>ISBLANK(Q33)</formula>
    </cfRule>
  </conditionalFormatting>
  <conditionalFormatting sqref="S8:Z11">
    <cfRule type="expression" dxfId="15" priority="16">
      <formula>ISBLANK(S8)</formula>
    </cfRule>
  </conditionalFormatting>
  <conditionalFormatting sqref="S6:Z6">
    <cfRule type="expression" dxfId="14" priority="15">
      <formula>ISBLANK(S6)</formula>
    </cfRule>
  </conditionalFormatting>
  <conditionalFormatting sqref="AA26">
    <cfRule type="expression" dxfId="13" priority="14">
      <formula>ISBLANK(AA26)</formula>
    </cfRule>
  </conditionalFormatting>
  <conditionalFormatting sqref="AA27">
    <cfRule type="expression" dxfId="12" priority="13">
      <formula>ISBLANK(AA27)</formula>
    </cfRule>
  </conditionalFormatting>
  <conditionalFormatting sqref="AE90:AJ90 AE92:AJ93">
    <cfRule type="expression" dxfId="11" priority="11">
      <formula>AD90="RAL:"</formula>
    </cfRule>
    <cfRule type="expression" dxfId="10" priority="12">
      <formula>AD90="RAL:"</formula>
    </cfRule>
  </conditionalFormatting>
  <conditionalFormatting sqref="Z113">
    <cfRule type="expression" dxfId="9" priority="10">
      <formula>ISBLANK(Z113)</formula>
    </cfRule>
  </conditionalFormatting>
  <conditionalFormatting sqref="AA48">
    <cfRule type="expression" dxfId="8" priority="9">
      <formula>Q48="Special"</formula>
    </cfRule>
  </conditionalFormatting>
  <conditionalFormatting sqref="AC48">
    <cfRule type="expression" dxfId="7" priority="8">
      <formula>Q48="Special"</formula>
    </cfRule>
  </conditionalFormatting>
  <conditionalFormatting sqref="AE2:AJ2">
    <cfRule type="expression" dxfId="6" priority="7">
      <formula>ISBLANK(AE2)</formula>
    </cfRule>
  </conditionalFormatting>
  <conditionalFormatting sqref="AC91">
    <cfRule type="expression" dxfId="5" priority="5">
      <formula>OR($Q$90&lt;&gt;"zinc + special RAL", $Q$90&lt;&gt;"galvanisé + special RAL")</formula>
    </cfRule>
  </conditionalFormatting>
  <conditionalFormatting sqref="AE91:AJ91">
    <cfRule type="expression" dxfId="4" priority="3">
      <formula>AD91="RAL:"</formula>
    </cfRule>
    <cfRule type="expression" dxfId="3" priority="4">
      <formula>AD91="RAL:"</formula>
    </cfRule>
  </conditionalFormatting>
  <conditionalFormatting sqref="AD77:AD79">
    <cfRule type="expression" dxfId="2" priority="92">
      <formula>$Q$79&lt;&gt;"other"</formula>
    </cfRule>
  </conditionalFormatting>
  <conditionalFormatting sqref="AD76">
    <cfRule type="expression" dxfId="1" priority="2">
      <formula>$Q$79&lt;&gt;"other"</formula>
    </cfRule>
  </conditionalFormatting>
  <conditionalFormatting sqref="Q28:Q31">
    <cfRule type="expression" dxfId="0" priority="1">
      <formula>ISBLANK(Q28)</formula>
    </cfRule>
  </conditionalFormatting>
  <dataValidations count="40">
    <dataValidation type="list" allowBlank="1" showInputMessage="1" showErrorMessage="1" sqref="Q47">
      <formula1>"150 kg,225 kg,250 kg,300 kg"</formula1>
    </dataValidation>
    <dataValidation type="list" allowBlank="1" showInputMessage="1" showErrorMessage="1" sqref="Q48">
      <formula1>"700 x 750 mm,750 x 850 mm,800 x 900 mm,800 x 1000mm,Special"</formula1>
    </dataValidation>
    <dataValidation type="list" allowBlank="1" showErrorMessage="1" prompt="Select requested delivery week" sqref="L113:M113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="dd.mm.yyyy" sqref="AE2:AJ2"/>
    <dataValidation type="list" allowBlank="1" showInputMessage="1" showErrorMessage="1" sqref="Q80">
      <formula1>"None,ALTECH,ARES,LEHNER,WEIGL,OTIS,STANNAH,TERRY"</formula1>
    </dataValidation>
    <dataValidation type="list" allowBlank="1" showInputMessage="1" showErrorMessage="1" sqref="Q82">
      <formula1>"None,Q1,Q2,Q3 air cargo,Q3 non air cargo"</formula1>
    </dataValidation>
    <dataValidation type="list" allowBlank="1" showInputMessage="1" showErrorMessage="1" sqref="R41:AJ41">
      <formula1>"1.1 kW compact drive including controls (indoor standard),1.1kW compact drive with controls in extra box (outdoor standard),1.1kW compact drive in big box,1.5kW old standard drive,2.2 kW (with big box)"</formula1>
    </dataValidation>
    <dataValidation type="decimal" allowBlank="1" showInputMessage="1" showErrorMessage="1" sqref="Q25:AJ25">
      <formula1>0</formula1>
      <formula2>100</formula2>
    </dataValidation>
    <dataValidation type="list" allowBlank="1" showInputMessage="1" showErrorMessage="1" sqref="Q38">
      <formula1>"1 x 230V(standard),3 x 400V"</formula1>
    </dataValidation>
    <dataValidation type="list" allowBlank="1" showInputMessage="1" showErrorMessage="1" sqref="Q22">
      <formula1>"Innen,Im Außenbereich"</formula1>
    </dataValidation>
    <dataValidation type="list" allowBlank="1" showInputMessage="1" showErrorMessage="1" sqref="Q23">
      <formula1>"Links,Rechts"</formula1>
    </dataValidation>
    <dataValidation type="list" allowBlank="1" showInputMessage="1" showErrorMessage="1" sqref="Q24">
      <formula1>"Gerade Schiene,Schiene mit Kurven"</formula1>
    </dataValidation>
    <dataValidation type="list" allowBlank="1" showInputMessage="1" showErrorMessage="1" sqref="Q26">
      <formula1>"Gerade,Gerade mit Steilstart,Gerade mit horizontalem Auslauf,90°,180°,Spezialkurve"</formula1>
    </dataValidation>
    <dataValidation type="list" allowBlank="1" showInputMessage="1" showErrorMessage="1" sqref="Q27">
      <formula1>"Gerade an letzter Stufe,Gerader Überlauf,90° auf oberem Podest,180° auf oberem Podest,Spezialkurve auf oberem Podest"</formula1>
    </dataValidation>
    <dataValidation type="list" allowBlank="1" showInputMessage="1" showErrorMessage="1" sqref="Q32">
      <formula1>"Nein,Gerade,Mit Kurve"</formula1>
    </dataValidation>
    <dataValidation type="list" allowBlank="1" showInputMessage="1" showErrorMessage="1" sqref="Q39 Q40 Q63 Q64 Q65 Q66 Q73 Q74 Q75 Q85 Q86 Q99 Q81:AJ81">
      <formula1>"Nein,Ja"</formula1>
    </dataValidation>
    <dataValidation type="list" allowBlank="1" showInputMessage="1" showErrorMessage="1" sqref="Q41">
      <formula1>"1.1 kW Kompaktantrieb inklusive Steuerung (Standard Innenanlage),1.1kW Kompaktantrieb mit Steuerung in extra Box (Standard Außenanlage),1.1kW Kompaktantrieb in großer Box,2.2 kW (mit großer Box)"</formula1>
    </dataValidation>
    <dataValidation type="list" allowBlank="1" showInputMessage="1" showErrorMessage="1" sqref="Q45">
      <formula1>"Kompletter Lift mit maßgefertigter Schiene,Nur Schiene"</formula1>
    </dataValidation>
    <dataValidation type="list" allowBlank="1" showInputMessage="1" showErrorMessage="1" sqref="Q46">
      <formula1>"Ohne Klappsitz,Klappsitz mit Polsterung,Klappsitz aus Stahl beschichtet"</formula1>
    </dataValidation>
    <dataValidation type="list" allowBlank="1" showInputMessage="1" showErrorMessage="1" sqref="Q49">
      <formula1>"Automatisch ,Manuell"</formula1>
    </dataValidation>
    <dataValidation type="list" allowBlank="1" showInputMessage="1" showErrorMessage="1" sqref="Q50">
      <formula1>"Obere und untere Rampe,Obere und untere + frontale Rampe (90° seitliche Auffahrt),Obere und frontale Rampe (ohne untere)"</formula1>
    </dataValidation>
    <dataValidation type="list" allowBlank="1" showInputMessage="1" showErrorMessage="1" sqref="Q51 Q54 Q60 Q71">
      <formula1>"Nein (Standard),Ja"</formula1>
    </dataValidation>
    <dataValidation type="list" allowBlank="1" showInputMessage="1" showErrorMessage="1" sqref="Q52">
      <formula1>"150mm,200mm (Standard),300mm (Spezial)"</formula1>
    </dataValidation>
    <dataValidation type="list" allowBlank="1" showInputMessage="1" showErrorMessage="1" sqref="Q53">
      <formula1>"Gleiche Farbe wie Plattform,Keine Farbe (Aluminium unbeschichtet)"</formula1>
    </dataValidation>
    <dataValidation type="list" allowBlank="1" showInputMessage="1" showErrorMessage="1" sqref="Q55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56">
      <formula1>"Folientastatur (Standard),Großer Taster (Spezial)"</formula1>
    </dataValidation>
    <dataValidation type="list" allowBlank="1" showInputMessage="1" showErrorMessage="1" sqref="Q57">
      <formula1>"Ohne Schlüssel,Mini Schlüssel,BACO Schlüssel,EURO Schlüssel"</formula1>
    </dataValidation>
    <dataValidation type="list" allowBlank="1" showInputMessage="1" showErrorMessage="1" sqref="Q59">
      <formula1>"Wandbefestigung (Standard),Stützenbefestigung"</formula1>
    </dataValidation>
    <dataValidation type="list" allowBlank="1" showInputMessage="1" showErrorMessage="1" sqref="Q69">
      <formula1>"Ja (für Außenanlage),Nein"</formula1>
    </dataValidation>
    <dataValidation type="list" allowBlank="1" showInputMessage="1" showErrorMessage="1" sqref="Q70">
      <formula1>"Nein"</formula1>
    </dataValidation>
    <dataValidation type="list" allowBlank="1" showInputMessage="1" showErrorMessage="1" sqref="Q1">
      <formula1>"Ja"</formula1>
    </dataValidation>
    <dataValidation type="list" allowBlank="1" showInputMessage="1" showErrorMessage="1" sqref="Q72">
      <formula1>"None,Sicherheitsglas,Lochblech,Holz,Stahlstreben,Edelstahlstreben"</formula1>
    </dataValidation>
    <dataValidation type="list" allowBlank="1" showInputMessage="1" showErrorMessage="1" sqref="Q90">
      <formula1>"RAL 7035 (Standard),Verzinkt + RAL 7035 (Außenanlage),Special RAL,Verzinkt + Special RAL,Edelstahl 304 + Special RAL,Edelstahl 316 + Special RAL"</formula1>
    </dataValidation>
    <dataValidation type="list" allowBlank="1" showInputMessage="1" showErrorMessage="1" sqref="Q91">
      <formula1>"RAL 7035 (Standard),Verzinkt + RAL 7035 (Außenanlage),Special RAL,Verzinkt + Special RAL"</formula1>
    </dataValidation>
    <dataValidation type="list" allowBlank="1" showInputMessage="1" showErrorMessage="1" sqref="Q92">
      <formula1>"RAL 7035 (Standard),Verzinkt  (Außenanlage Standard),Special RAL,Edelstahl 304,Edelstahl 316 (special)"</formula1>
    </dataValidation>
    <dataValidation type="list" allowBlank="1" showInputMessage="1" showErrorMessage="1" sqref="Q93">
      <formula1>"-,RAL 7035 (Standard),Special RAL,Verzinkt (Außenanlage Standard),Edelstahl 304,Edelstahl 316 (special)"</formula1>
    </dataValidation>
    <dataValidation type="list" allowBlank="1" showInputMessage="1" showErrorMessage="1" sqref="Q96">
      <formula1>"An die Wand,Auf Stützen und Wand,Auf Stützen"</formula1>
    </dataValidation>
    <dataValidation type="list" allowBlank="1" showInputMessage="1" showErrorMessage="1" sqref="Q97">
      <formula1>"-,Auf den Stufen,An die Treppenwange,Entlang der Treppenwange auf den Boden"</formula1>
    </dataValidation>
    <dataValidation type="list" allowBlank="1" showInputMessage="1" showErrorMessage="1" sqref="Q98">
      <formula1>"-,Ja,Nein"</formula1>
    </dataValidation>
    <dataValidation type="list" allowBlank="1" showInputMessage="1" showErrorMessage="1" sqref="Q100">
      <formula1>"nicht spezifiziert,Dreieck,Diamant,Langer Diamant"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Languages!$C$171:$C$172</xm:f>
          </x14:formula1>
          <xm:sqref>R71:AJ71</xm:sqref>
        </x14:dataValidation>
        <x14:dataValidation type="list" allowBlank="1" showInputMessage="1" showErrorMessage="1">
          <x14:formula1>
            <xm:f>Languages!$C$167:$C$168</xm:f>
          </x14:formula1>
          <xm:sqref>R69:AJ69</xm:sqref>
        </x14:dataValidation>
        <x14:dataValidation type="list" allowBlank="1" showInputMessage="1" showErrorMessage="1">
          <x14:formula1>
            <xm:f>Languages!$C$150:$C$151</xm:f>
          </x14:formula1>
          <xm:sqref>R66:AJ66</xm:sqref>
        </x14:dataValidation>
        <x14:dataValidation type="list" allowBlank="1" showInputMessage="1" showErrorMessage="1">
          <x14:formula1>
            <xm:f>Languages!$C$148:$C$149</xm:f>
          </x14:formula1>
          <xm:sqref>R65:AJ65</xm:sqref>
        </x14:dataValidation>
        <x14:dataValidation type="list" allowBlank="1" showInputMessage="1" showErrorMessage="1">
          <x14:formula1>
            <xm:f>Languages!$C$146:$C$147</xm:f>
          </x14:formula1>
          <xm:sqref>R64:AJ64</xm:sqref>
        </x14:dataValidation>
        <x14:dataValidation type="list" allowBlank="1" showInputMessage="1" showErrorMessage="1">
          <x14:formula1>
            <xm:f>Languages!$C$144:$C$145</xm:f>
          </x14:formula1>
          <xm:sqref>R63:AJ63</xm:sqref>
        </x14:dataValidation>
        <x14:dataValidation type="list" allowBlank="1" showInputMessage="1" showErrorMessage="1">
          <x14:formula1>
            <xm:f>Languages!$C$137:$C$138</xm:f>
          </x14:formula1>
          <xm:sqref>R60:AJ60</xm:sqref>
        </x14:dataValidation>
        <x14:dataValidation type="list" allowBlank="1" showInputMessage="1" showErrorMessage="1">
          <x14:formula1>
            <xm:f>Languages!$C$135:$C$136</xm:f>
          </x14:formula1>
          <xm:sqref>R59:AJ59</xm:sqref>
        </x14:dataValidation>
        <x14:dataValidation type="list" allowBlank="1" showInputMessage="1" showErrorMessage="1">
          <x14:formula1>
            <xm:f>Languages!$C$131:$C$134</xm:f>
          </x14:formula1>
          <xm:sqref>R57:AJ57</xm:sqref>
        </x14:dataValidation>
        <x14:dataValidation type="list" allowBlank="1" showInputMessage="1" showErrorMessage="1">
          <x14:formula1>
            <xm:f>Languages!$C$129:$C$130</xm:f>
          </x14:formula1>
          <xm:sqref>R56:AJ56</xm:sqref>
        </x14:dataValidation>
        <x14:dataValidation type="list" allowBlank="1" showInputMessage="1" showErrorMessage="1">
          <x14:formula1>
            <xm:f>Languages!$C$123:$C$128</xm:f>
          </x14:formula1>
          <xm:sqref>R55:AJ55</xm:sqref>
        </x14:dataValidation>
        <x14:dataValidation type="list" allowBlank="1" showInputMessage="1" showErrorMessage="1">
          <x14:formula1>
            <xm:f>Languages!$C$119:$C$120</xm:f>
          </x14:formula1>
          <xm:sqref>R53:AJ53</xm:sqref>
        </x14:dataValidation>
        <x14:dataValidation type="list" allowBlank="1" showInputMessage="1" showErrorMessage="1">
          <x14:formula1>
            <xm:f>Languages!$C$116:$C$118</xm:f>
          </x14:formula1>
          <xm:sqref>R52:AJ52</xm:sqref>
        </x14:dataValidation>
        <x14:dataValidation type="list" allowBlank="1" showInputMessage="1" showErrorMessage="1">
          <x14:formula1>
            <xm:f>Languages!$C$114:$C$115</xm:f>
          </x14:formula1>
          <xm:sqref>R51:AJ51</xm:sqref>
        </x14:dataValidation>
        <x14:dataValidation type="list" allowBlank="1" showInputMessage="1" showErrorMessage="1">
          <x14:formula1>
            <xm:f>Languages!$C$111:$C$113</xm:f>
          </x14:formula1>
          <xm:sqref>R50:AJ50</xm:sqref>
        </x14:dataValidation>
        <x14:dataValidation type="list" allowBlank="1" showInputMessage="1" showErrorMessage="1">
          <x14:formula1>
            <xm:f>Languages!$C$109:$C$110</xm:f>
          </x14:formula1>
          <xm:sqref>R49:AJ49</xm:sqref>
        </x14:dataValidation>
        <x14:dataValidation type="list" allowBlank="1" showInputMessage="1" showErrorMessage="1">
          <x14:formula1>
            <xm:f>Languages!$C$104:$C$108</xm:f>
          </x14:formula1>
          <xm:sqref>R48:Z48</xm:sqref>
        </x14:dataValidation>
        <x14:dataValidation type="list" allowBlank="1" showInputMessage="1" showErrorMessage="1">
          <x14:formula1>
            <xm:f>Languages!$C$100:$C$103</xm:f>
          </x14:formula1>
          <xm:sqref>R47:AJ47</xm:sqref>
        </x14:dataValidation>
        <x14:dataValidation type="list" allowBlank="1" showInputMessage="1" showErrorMessage="1">
          <x14:formula1>
            <xm:f>Languages!$C$97:$C$99</xm:f>
          </x14:formula1>
          <xm:sqref>R46:AJ46</xm:sqref>
        </x14:dataValidation>
        <x14:dataValidation type="list" allowBlank="1" showInputMessage="1" showErrorMessage="1">
          <x14:formula1>
            <xm:f>Languages!$C$49:$C$50</xm:f>
          </x14:formula1>
          <xm:sqref>R23:AJ23</xm:sqref>
        </x14:dataValidation>
        <x14:dataValidation type="list" allowBlank="1" showInputMessage="1" showErrorMessage="1">
          <x14:formula1>
            <xm:f>Languages!$C$47:$C$48</xm:f>
          </x14:formula1>
          <xm:sqref>R22:AJ22</xm:sqref>
        </x14:dataValidation>
        <x14:dataValidation type="list" allowBlank="1" showInputMessage="1" showErrorMessage="1">
          <x14:formula1>
            <xm:f>Languages!$C$173:$C$178</xm:f>
          </x14:formula1>
          <xm:sqref>R72:AA75</xm:sqref>
        </x14:dataValidation>
        <x14:dataValidation type="list" allowBlank="1" showInputMessage="1" showErrorMessage="1">
          <x14:formula1>
            <xm:f>Languages!$C$185:$C$192</xm:f>
          </x14:formula1>
          <xm:sqref>R80:AJ80</xm:sqref>
        </x14:dataValidation>
        <x14:dataValidation type="list" allowBlank="1" showInputMessage="1" showErrorMessage="1">
          <x14:formula1>
            <xm:f>Languages!$C$193:$C$197</xm:f>
          </x14:formula1>
          <xm:sqref>R82:AJ82</xm:sqref>
        </x14:dataValidation>
        <x14:dataValidation type="list" allowBlank="1" showInputMessage="1" showErrorMessage="1">
          <x14:formula1>
            <xm:f>Languages!$C$207:$C$211</xm:f>
          </x14:formula1>
          <xm:sqref>R90:AB91</xm:sqref>
        </x14:dataValidation>
        <x14:dataValidation type="list" allowBlank="1" showInputMessage="1" showErrorMessage="1">
          <x14:formula1>
            <xm:f>Languages!$C$217:$C$222</xm:f>
          </x14:formula1>
          <xm:sqref>R92:AB92</xm:sqref>
        </x14:dataValidation>
        <x14:dataValidation type="list" allowBlank="1" showInputMessage="1" showErrorMessage="1">
          <x14:formula1>
            <xm:f>Languages!$C$223:$C$230</xm:f>
          </x14:formula1>
          <xm:sqref>R93:AB93</xm:sqref>
        </x14:dataValidation>
        <x14:dataValidation type="list" allowBlank="1" showInputMessage="1" showErrorMessage="1">
          <x14:formula1>
            <xm:f>Languages!$C$237:$C$239</xm:f>
          </x14:formula1>
          <xm:sqref>R96:AJ96</xm:sqref>
        </x14:dataValidation>
        <x14:dataValidation type="list" allowBlank="1" showInputMessage="1" showErrorMessage="1">
          <x14:formula1>
            <xm:f>Languages!$C$240:$C$243</xm:f>
          </x14:formula1>
          <xm:sqref>R97:AJ97</xm:sqref>
        </x14:dataValidation>
        <x14:dataValidation type="list" allowBlank="1" showInputMessage="1" showErrorMessage="1">
          <x14:formula1>
            <xm:f>Languages!$C$244:$C$246</xm:f>
          </x14:formula1>
          <xm:sqref>R98:AJ99</xm:sqref>
        </x14:dataValidation>
        <x14:dataValidation type="list" allowBlank="1" showInputMessage="1" showErrorMessage="1">
          <x14:formula1>
            <xm:f>Languages!$C$249:$C$252</xm:f>
          </x14:formula1>
          <xm:sqref>R100:AJ100</xm:sqref>
        </x14:dataValidation>
        <x14:dataValidation type="list" allowBlank="1" showInputMessage="1" showErrorMessage="1">
          <x14:formula1>
            <xm:f>Languages!$C$59:$C$63</xm:f>
          </x14:formula1>
          <xm:sqref>R27:Z27</xm:sqref>
        </x14:dataValidation>
        <x14:dataValidation type="list" allowBlank="1" showInputMessage="1" showErrorMessage="1">
          <x14:formula1>
            <xm:f>Languages!$C$53:$C$58</xm:f>
          </x14:formula1>
          <xm:sqref>R26:Z26</xm:sqref>
        </x14:dataValidation>
        <x14:dataValidation type="list" allowBlank="1" showInputMessage="1" showErrorMessage="1">
          <x14:formula1>
            <xm:f>Languages!$C$95:$C$96</xm:f>
          </x14:formula1>
          <xm:sqref>R45:AJ45</xm:sqref>
        </x14:dataValidation>
        <x14:dataValidation type="list" allowBlank="1" showInputMessage="1" showErrorMessage="1">
          <x14:formula1>
            <xm:f>Languages!$C$64:$C$65</xm:f>
          </x14:formula1>
          <xm:sqref>R32:AJ32</xm:sqref>
        </x14:dataValidation>
        <x14:dataValidation type="list" allowBlank="1" showInputMessage="1" showErrorMessage="1">
          <x14:formula1>
            <xm:f>Languages!$C$122:$C$122</xm:f>
          </x14:formula1>
          <xm:sqref>R54:AJ54</xm:sqref>
        </x14:dataValidation>
        <x14:dataValidation type="list" allowBlank="1" showInputMessage="1" showErrorMessage="1">
          <x14:formula1>
            <xm:f>Languages!$C$51:$C$52</xm:f>
          </x14:formula1>
          <xm:sqref>R24:AJ24</xm:sqref>
        </x14:dataValidation>
        <x14:dataValidation type="list" allowBlank="1" showInputMessage="1" showErrorMessage="1">
          <x14:formula1>
            <xm:f>Languages!$C$169:$C$170</xm:f>
          </x14:formula1>
          <xm:sqref>R70:AJ70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84"/>
  <sheetViews>
    <sheetView topLeftCell="B1" zoomScaleNormal="100" workbookViewId="0">
      <selection activeCell="I10" sqref="I10"/>
    </sheetView>
  </sheetViews>
  <sheetFormatPr baseColWidth="10" defaultColWidth="9.140625" defaultRowHeight="15.75" customHeight="1"/>
  <cols>
    <col min="1" max="1" width="9.7109375" style="166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1:16" ht="25.5" customHeight="1">
      <c r="B1" s="102" t="s">
        <v>886</v>
      </c>
      <c r="C1" s="103" t="s">
        <v>1056</v>
      </c>
      <c r="D1" s="104"/>
      <c r="E1" s="104"/>
      <c r="F1" s="104"/>
      <c r="G1" s="105" t="str">
        <f>'Order form'!AE3</f>
        <v>OMEGA.LE.2019.A</v>
      </c>
      <c r="H1" s="104"/>
      <c r="I1" s="106"/>
    </row>
    <row r="2" spans="1:16" ht="15.75" customHeight="1">
      <c r="B2" s="107" t="s">
        <v>887</v>
      </c>
      <c r="C2" s="360">
        <f>'Order form'!H19</f>
        <v>0</v>
      </c>
      <c r="D2" s="361"/>
      <c r="E2" s="361"/>
      <c r="F2" s="361"/>
      <c r="G2" s="361"/>
      <c r="H2" s="108"/>
      <c r="I2" s="109">
        <v>1</v>
      </c>
    </row>
    <row r="3" spans="1:16" ht="15.75" customHeight="1">
      <c r="B3" s="107" t="s">
        <v>888</v>
      </c>
      <c r="C3" s="190" t="s">
        <v>917</v>
      </c>
      <c r="D3" s="111"/>
      <c r="E3" s="111"/>
      <c r="F3" s="111"/>
      <c r="G3" s="111"/>
      <c r="H3" s="111"/>
      <c r="I3" s="112"/>
    </row>
    <row r="4" spans="1:16" ht="15.75" customHeight="1">
      <c r="B4" s="113"/>
      <c r="C4" s="190" t="str">
        <f>'Order form'!F9</f>
        <v>A - 4724</v>
      </c>
      <c r="D4" s="108"/>
      <c r="E4" s="108"/>
      <c r="F4" s="108"/>
      <c r="G4" s="110"/>
      <c r="H4" s="108"/>
      <c r="I4" s="112"/>
    </row>
    <row r="5" spans="1:16" ht="15.75" customHeight="1">
      <c r="B5" s="113"/>
      <c r="C5" s="190" t="str">
        <f>'Order form'!F10</f>
        <v>Neukirchen am Walde</v>
      </c>
      <c r="D5" s="108"/>
      <c r="E5" s="108"/>
      <c r="F5" s="108"/>
      <c r="G5" s="108"/>
      <c r="H5" s="108"/>
      <c r="I5" s="112"/>
    </row>
    <row r="6" spans="1:16" ht="15.75" customHeight="1">
      <c r="B6" s="113"/>
      <c r="C6" s="190" t="str">
        <f>'Order form'!F11</f>
        <v>Austria</v>
      </c>
      <c r="D6" s="108"/>
      <c r="E6" s="108"/>
      <c r="F6" s="108"/>
      <c r="G6" s="108"/>
      <c r="H6" s="108"/>
      <c r="I6" s="112"/>
    </row>
    <row r="7" spans="1:16" ht="15.75" customHeight="1" thickBot="1">
      <c r="B7" s="216"/>
      <c r="C7" s="217" t="s">
        <v>18</v>
      </c>
      <c r="D7" s="362"/>
      <c r="E7" s="363"/>
      <c r="F7" s="364"/>
      <c r="G7" s="218" t="s">
        <v>19</v>
      </c>
      <c r="H7" s="218" t="s">
        <v>62</v>
      </c>
      <c r="I7" s="219" t="s">
        <v>26</v>
      </c>
    </row>
    <row r="8" spans="1:16" ht="15.75" customHeight="1">
      <c r="B8" s="220" t="s">
        <v>889</v>
      </c>
      <c r="C8" s="118" t="s">
        <v>933</v>
      </c>
      <c r="D8" s="144">
        <f>IF(OR('Order form'!Q45="Platform + rail (standard)",'Order form'!Q45="Platform only"),1,0)</f>
        <v>0</v>
      </c>
      <c r="E8" s="144"/>
      <c r="F8" s="144"/>
      <c r="G8" s="145" t="s">
        <v>683</v>
      </c>
      <c r="H8" s="121">
        <f>'[1]Price list'!$C8</f>
        <v>0</v>
      </c>
      <c r="I8" s="122">
        <f>D8*H8</f>
        <v>0</v>
      </c>
      <c r="P8" s="3"/>
    </row>
    <row r="9" spans="1:16" s="205" customFormat="1" ht="15.75" customHeight="1" thickBot="1">
      <c r="A9" s="208"/>
      <c r="B9" s="221"/>
      <c r="C9" s="206" t="s">
        <v>934</v>
      </c>
      <c r="D9" s="150">
        <f>IF(OR('Order form'!Q46="Platform + rail (standard)",'Order form'!Q46="Platform only"),1,0)</f>
        <v>0</v>
      </c>
      <c r="E9" s="150"/>
      <c r="F9" s="150"/>
      <c r="G9" s="151" t="s">
        <v>683</v>
      </c>
      <c r="H9" s="131">
        <f>'[1]Price list'!$C9</f>
        <v>0</v>
      </c>
      <c r="I9" s="133">
        <f>D9*H9</f>
        <v>0</v>
      </c>
      <c r="P9" s="207"/>
    </row>
    <row r="10" spans="1:16" s="205" customFormat="1" ht="15.75" customHeight="1" thickBot="1">
      <c r="A10" s="208"/>
      <c r="B10" s="236"/>
      <c r="C10" s="237"/>
      <c r="D10" s="238"/>
      <c r="E10" s="238"/>
      <c r="F10" s="238"/>
      <c r="G10" s="239"/>
      <c r="H10" s="121">
        <f>'[1]Price list'!$C10</f>
        <v>0</v>
      </c>
      <c r="I10" s="243"/>
      <c r="O10" s="207"/>
    </row>
    <row r="11" spans="1:16" s="205" customFormat="1" ht="15.75" customHeight="1">
      <c r="A11" s="208"/>
      <c r="B11" s="365" t="s">
        <v>1047</v>
      </c>
      <c r="C11" s="114" t="s">
        <v>1048</v>
      </c>
      <c r="D11" s="119">
        <f>IF('Order form'!Q41="1.1 kW compact drive including controls (indoor standard)",IF('Order form'!Q45="rail only",0,1),0)</f>
        <v>0</v>
      </c>
      <c r="E11" s="125"/>
      <c r="F11" s="125"/>
      <c r="G11" s="126" t="s">
        <v>683</v>
      </c>
      <c r="H11" s="121">
        <f>'[1]Price list'!$C11</f>
        <v>0</v>
      </c>
      <c r="I11" s="122">
        <f t="shared" ref="I11:I16" si="0">H11*D11</f>
        <v>0</v>
      </c>
      <c r="O11" s="207"/>
    </row>
    <row r="12" spans="1:16" s="205" customFormat="1" ht="15.75" customHeight="1">
      <c r="A12" s="208"/>
      <c r="B12" s="366"/>
      <c r="C12" s="114" t="s">
        <v>1049</v>
      </c>
      <c r="D12" s="115">
        <f>IF('Order form'!Q41="1.1kW compact drive with controls in extra box (outdoor standard)",IF('Order form'!Q45="rail only",0,1),0)</f>
        <v>0</v>
      </c>
      <c r="E12" s="115"/>
      <c r="F12" s="115"/>
      <c r="G12" s="116" t="s">
        <v>683</v>
      </c>
      <c r="H12" s="127">
        <f>'[1]Price list'!$C12</f>
        <v>0</v>
      </c>
      <c r="I12" s="128">
        <f t="shared" si="0"/>
        <v>0</v>
      </c>
      <c r="O12" s="207"/>
    </row>
    <row r="13" spans="1:16" s="205" customFormat="1" ht="15.75" customHeight="1">
      <c r="A13" s="208"/>
      <c r="B13" s="366"/>
      <c r="C13" s="124" t="s">
        <v>1038</v>
      </c>
      <c r="D13" s="125">
        <f>IF('Order form'!Q41="1.1kW compact drive in big box",IF('Order form'!Q45="rail only",0,1),0)</f>
        <v>0</v>
      </c>
      <c r="E13" s="125"/>
      <c r="F13" s="125"/>
      <c r="G13" s="126" t="s">
        <v>683</v>
      </c>
      <c r="H13" s="127">
        <f>'[1]Price list'!$C13</f>
        <v>0</v>
      </c>
      <c r="I13" s="128">
        <f t="shared" si="0"/>
        <v>0</v>
      </c>
      <c r="O13" s="207"/>
    </row>
    <row r="14" spans="1:16" s="205" customFormat="1" ht="15.75" customHeight="1">
      <c r="A14" s="208"/>
      <c r="B14" s="366"/>
      <c r="C14" s="114" t="s">
        <v>974</v>
      </c>
      <c r="D14" s="115">
        <f>IF('Order form'!Q41="1.5kW old standard drive",IF('Order form'!Q45="rail only",0,1),0)</f>
        <v>0</v>
      </c>
      <c r="E14" s="115"/>
      <c r="F14" s="115"/>
      <c r="G14" s="116" t="s">
        <v>683</v>
      </c>
      <c r="H14" s="127">
        <f>'[1]Price list'!$C14</f>
        <v>0</v>
      </c>
      <c r="I14" s="128">
        <f t="shared" si="0"/>
        <v>0</v>
      </c>
      <c r="O14" s="207"/>
    </row>
    <row r="15" spans="1:16" s="205" customFormat="1" ht="15.75" customHeight="1">
      <c r="A15" s="208"/>
      <c r="B15" s="366"/>
      <c r="C15" s="124" t="s">
        <v>973</v>
      </c>
      <c r="D15" s="125">
        <f>IF('Order form'!Q41="2.2 kW (with big box)",IF('Order form'!Q45="rail only",0,1),0)</f>
        <v>0</v>
      </c>
      <c r="E15" s="125"/>
      <c r="F15" s="125"/>
      <c r="G15" s="126" t="s">
        <v>683</v>
      </c>
      <c r="H15" s="127">
        <f>'[1]Price list'!$C15</f>
        <v>0</v>
      </c>
      <c r="I15" s="128">
        <f t="shared" si="0"/>
        <v>0</v>
      </c>
      <c r="O15" s="207"/>
    </row>
    <row r="16" spans="1:16" s="205" customFormat="1" ht="15.75" customHeight="1" thickBot="1">
      <c r="A16" s="208"/>
      <c r="B16" s="367"/>
      <c r="C16" s="136" t="s">
        <v>1050</v>
      </c>
      <c r="D16" s="155">
        <f>IF('Order form'!Q42="yes",IF('Order form'!Q45="rail only",0,1),0)</f>
        <v>0</v>
      </c>
      <c r="E16" s="155"/>
      <c r="F16" s="155"/>
      <c r="G16" s="156" t="s">
        <v>683</v>
      </c>
      <c r="H16" s="131">
        <f>'[1]Price list'!$C16</f>
        <v>0</v>
      </c>
      <c r="I16" s="128">
        <f t="shared" si="0"/>
        <v>0</v>
      </c>
      <c r="O16" s="207"/>
    </row>
    <row r="17" spans="1:16" s="205" customFormat="1" thickBot="1">
      <c r="A17" s="208"/>
      <c r="B17" s="240" t="s">
        <v>1051</v>
      </c>
      <c r="C17" s="237" t="s">
        <v>1052</v>
      </c>
      <c r="D17" s="241">
        <f>IF('Order form'!Q40="YES",1,0)</f>
        <v>0</v>
      </c>
      <c r="E17" s="241"/>
      <c r="F17" s="241"/>
      <c r="G17" s="242" t="s">
        <v>683</v>
      </c>
      <c r="H17" s="121">
        <f>'[1]Price list'!$C17</f>
        <v>0</v>
      </c>
      <c r="I17" s="243"/>
      <c r="O17" s="207"/>
    </row>
    <row r="18" spans="1:16" ht="15.75" customHeight="1">
      <c r="B18" s="365" t="s">
        <v>20</v>
      </c>
      <c r="C18" s="118" t="s">
        <v>916</v>
      </c>
      <c r="D18" s="187">
        <f>IF('Order form'!Q25&gt;3,'Order form'!Q25-3,0)</f>
        <v>0</v>
      </c>
      <c r="E18" s="119"/>
      <c r="F18" s="119"/>
      <c r="G18" s="120" t="s">
        <v>0</v>
      </c>
      <c r="H18" s="121">
        <f>'[1]Price list'!$C18</f>
        <v>0</v>
      </c>
      <c r="I18" s="122">
        <f t="shared" ref="I18:I37" si="1">H18*D18</f>
        <v>0</v>
      </c>
      <c r="L18" s="123"/>
      <c r="M18" s="123"/>
      <c r="N18" s="123"/>
      <c r="O18" s="123"/>
      <c r="P18" s="3"/>
    </row>
    <row r="19" spans="1:16" ht="15.75" customHeight="1">
      <c r="B19" s="366"/>
      <c r="C19" s="124" t="s">
        <v>890</v>
      </c>
      <c r="D19" s="188">
        <f>'Order form'!Q34</f>
        <v>0</v>
      </c>
      <c r="E19" s="125"/>
      <c r="F19" s="125"/>
      <c r="G19" s="126" t="s">
        <v>683</v>
      </c>
      <c r="H19" s="127">
        <f>'[1]Price list'!$C19</f>
        <v>0</v>
      </c>
      <c r="I19" s="128">
        <f t="shared" si="1"/>
        <v>0</v>
      </c>
      <c r="M19" s="123"/>
      <c r="N19" s="123"/>
      <c r="O19" s="123"/>
      <c r="P19" s="3"/>
    </row>
    <row r="20" spans="1:16" ht="15.75" customHeight="1">
      <c r="B20" s="366"/>
      <c r="C20" s="124" t="s">
        <v>891</v>
      </c>
      <c r="D20" s="125">
        <f>IF('Order form'!Q32="straight",1,0)</f>
        <v>0</v>
      </c>
      <c r="E20" s="125"/>
      <c r="F20" s="125"/>
      <c r="G20" s="126" t="s">
        <v>683</v>
      </c>
      <c r="H20" s="127">
        <f>'[1]Price list'!$C20</f>
        <v>0</v>
      </c>
      <c r="I20" s="128">
        <f t="shared" si="1"/>
        <v>0</v>
      </c>
      <c r="M20" s="123"/>
      <c r="N20" s="123"/>
      <c r="O20" s="123"/>
      <c r="P20" s="3"/>
    </row>
    <row r="21" spans="1:16" ht="15.75" customHeight="1">
      <c r="B21" s="366"/>
      <c r="C21" s="124" t="s">
        <v>892</v>
      </c>
      <c r="D21" s="125">
        <f>IF('Order form'!Q32="with curve",1,0)</f>
        <v>0</v>
      </c>
      <c r="E21" s="125"/>
      <c r="F21" s="125"/>
      <c r="G21" s="126" t="s">
        <v>683</v>
      </c>
      <c r="H21" s="127">
        <f>'[1]Price list'!$C21</f>
        <v>0</v>
      </c>
      <c r="I21" s="128">
        <f t="shared" si="1"/>
        <v>0</v>
      </c>
      <c r="M21" s="123"/>
      <c r="N21" s="123"/>
      <c r="O21" s="123"/>
      <c r="P21" s="3"/>
    </row>
    <row r="22" spans="1:16" ht="15.75" customHeight="1">
      <c r="B22" s="366"/>
      <c r="C22" s="124" t="s">
        <v>893</v>
      </c>
      <c r="D22" s="188">
        <f>'Order form'!Q33</f>
        <v>0</v>
      </c>
      <c r="E22" s="125"/>
      <c r="F22" s="125"/>
      <c r="G22" s="126" t="s">
        <v>0</v>
      </c>
      <c r="H22" s="127">
        <f>'[1]Price list'!$C22</f>
        <v>0</v>
      </c>
      <c r="I22" s="128">
        <f t="shared" si="1"/>
        <v>0</v>
      </c>
      <c r="M22" s="123"/>
      <c r="N22" s="123"/>
      <c r="O22" s="123"/>
      <c r="P22" s="3"/>
    </row>
    <row r="23" spans="1:16" s="205" customFormat="1" ht="15.75" customHeight="1">
      <c r="A23" s="208"/>
      <c r="B23" s="366"/>
      <c r="C23" s="124" t="s">
        <v>1041</v>
      </c>
      <c r="D23" s="125">
        <f>IF(AND('Order form'!Q24="straight rail",'Order form'!Q73="yes"),'Order form'!Q25,0)</f>
        <v>0</v>
      </c>
      <c r="E23" s="125"/>
      <c r="F23" s="125"/>
      <c r="G23" s="126" t="s">
        <v>0</v>
      </c>
      <c r="H23" s="127">
        <f>'[1]Price list'!$C23</f>
        <v>0</v>
      </c>
      <c r="I23" s="128">
        <f t="shared" si="1"/>
        <v>0</v>
      </c>
      <c r="M23" s="123"/>
      <c r="N23" s="123"/>
      <c r="O23" s="123"/>
      <c r="P23" s="207"/>
    </row>
    <row r="24" spans="1:16" s="205" customFormat="1" ht="15.75" customHeight="1">
      <c r="A24" s="208"/>
      <c r="B24" s="366"/>
      <c r="C24" s="124" t="s">
        <v>1042</v>
      </c>
      <c r="D24" s="125">
        <f>IF(AND('Order form'!Q24="non-straight rail",'Order form'!Q73="yes"),'Order form'!Q25,0)</f>
        <v>0</v>
      </c>
      <c r="E24" s="125"/>
      <c r="F24" s="125"/>
      <c r="G24" s="126" t="s">
        <v>0</v>
      </c>
      <c r="H24" s="127">
        <f>'[1]Price list'!$C24</f>
        <v>0</v>
      </c>
      <c r="I24" s="128">
        <f t="shared" si="1"/>
        <v>0</v>
      </c>
      <c r="M24" s="123"/>
      <c r="N24" s="123"/>
      <c r="O24" s="123"/>
      <c r="P24" s="207"/>
    </row>
    <row r="25" spans="1:16" s="205" customFormat="1" ht="15.75" customHeight="1">
      <c r="A25" s="208"/>
      <c r="B25" s="366"/>
      <c r="C25" s="124" t="s">
        <v>1043</v>
      </c>
      <c r="D25" s="125">
        <v>0</v>
      </c>
      <c r="E25" s="125"/>
      <c r="F25" s="125"/>
      <c r="G25" s="126" t="s">
        <v>0</v>
      </c>
      <c r="H25" s="127">
        <f>'[1]Price list'!$C25</f>
        <v>0</v>
      </c>
      <c r="I25" s="128">
        <f t="shared" si="1"/>
        <v>0</v>
      </c>
      <c r="M25" s="123"/>
      <c r="N25" s="123"/>
      <c r="O25" s="123"/>
      <c r="P25" s="207"/>
    </row>
    <row r="26" spans="1:16" s="205" customFormat="1" ht="15.75" customHeight="1">
      <c r="A26" s="208"/>
      <c r="B26" s="366"/>
      <c r="C26" s="129" t="s">
        <v>1044</v>
      </c>
      <c r="D26" s="130">
        <v>0</v>
      </c>
      <c r="E26" s="130"/>
      <c r="F26" s="130"/>
      <c r="G26" s="126" t="s">
        <v>0</v>
      </c>
      <c r="H26" s="127">
        <f>'[1]Price list'!$C26</f>
        <v>0</v>
      </c>
      <c r="I26" s="128">
        <f t="shared" si="1"/>
        <v>0</v>
      </c>
      <c r="M26" s="123"/>
      <c r="N26" s="123"/>
      <c r="O26" s="123"/>
      <c r="P26" s="207"/>
    </row>
    <row r="27" spans="1:16" ht="15.75" customHeight="1">
      <c r="B27" s="366"/>
      <c r="C27" s="129" t="s">
        <v>894</v>
      </c>
      <c r="D27" s="189">
        <f>IF('Order form'!Q96="On the pillars only",'Order form'!Q25/0.6+1,0)</f>
        <v>0</v>
      </c>
      <c r="E27" s="130"/>
      <c r="F27" s="130"/>
      <c r="G27" s="126" t="s">
        <v>683</v>
      </c>
      <c r="H27" s="127">
        <f>'[1]Price list'!$C27</f>
        <v>0</v>
      </c>
      <c r="I27" s="128">
        <f>H27*D27</f>
        <v>0</v>
      </c>
      <c r="M27" s="123"/>
      <c r="N27" s="123"/>
      <c r="O27" s="123"/>
      <c r="P27" s="3"/>
    </row>
    <row r="28" spans="1:16" ht="15.75" customHeight="1">
      <c r="B28" s="366"/>
      <c r="C28" s="129" t="s">
        <v>21</v>
      </c>
      <c r="D28" s="130">
        <f>IF('Order form'!Q58="pillar-mounted",'Order form'!Q57,0)</f>
        <v>0</v>
      </c>
      <c r="E28" s="130"/>
      <c r="F28" s="130"/>
      <c r="G28" s="126" t="s">
        <v>683</v>
      </c>
      <c r="H28" s="127">
        <f>'[1]Price list'!$C28</f>
        <v>0</v>
      </c>
      <c r="I28" s="128">
        <f>H28*D28</f>
        <v>0</v>
      </c>
      <c r="P28" s="3"/>
    </row>
    <row r="29" spans="1:16" ht="15.75" customHeight="1">
      <c r="B29" s="366"/>
      <c r="C29" s="129" t="s">
        <v>662</v>
      </c>
      <c r="D29" s="189">
        <f>IF('Order form'!Q98="yes",D27,0)</f>
        <v>0</v>
      </c>
      <c r="E29" s="130"/>
      <c r="F29" s="130"/>
      <c r="G29" s="126" t="s">
        <v>683</v>
      </c>
      <c r="H29" s="127">
        <f>'[1]Price list'!$C29</f>
        <v>0</v>
      </c>
      <c r="I29" s="128">
        <f>H29*D29</f>
        <v>0</v>
      </c>
      <c r="P29" s="3"/>
    </row>
    <row r="30" spans="1:16" ht="15.75" customHeight="1">
      <c r="B30" s="366"/>
      <c r="C30" s="129" t="s">
        <v>895</v>
      </c>
      <c r="D30" s="130">
        <f>IF('Order form'!Q35="0",0,'Order form'!Q35)</f>
        <v>0</v>
      </c>
      <c r="E30" s="130"/>
      <c r="F30" s="130"/>
      <c r="G30" s="126" t="s">
        <v>683</v>
      </c>
      <c r="H30" s="127">
        <f>'[1]Price list'!$C30</f>
        <v>0</v>
      </c>
      <c r="I30" s="128">
        <f t="shared" si="1"/>
        <v>0</v>
      </c>
      <c r="P30" s="3"/>
    </row>
    <row r="31" spans="1:16" s="205" customFormat="1" ht="15.75" customHeight="1" thickBot="1">
      <c r="A31" s="208"/>
      <c r="B31" s="367"/>
      <c r="C31" s="206" t="s">
        <v>1045</v>
      </c>
      <c r="D31" s="233">
        <f>IF(OR('Order form'!Q47="300 kg",'Order form'!Q75="yes",'Order form'!Q99="yes"),'Order form'!Q25,0)</f>
        <v>0</v>
      </c>
      <c r="E31" s="233"/>
      <c r="F31" s="233"/>
      <c r="G31" s="234" t="s">
        <v>0</v>
      </c>
      <c r="H31" s="131">
        <f>'[1]Price list'!$C31</f>
        <v>0</v>
      </c>
      <c r="I31" s="117">
        <f t="shared" si="1"/>
        <v>0</v>
      </c>
      <c r="P31" s="207"/>
    </row>
    <row r="32" spans="1:16" ht="15.75" customHeight="1">
      <c r="B32" s="365" t="s">
        <v>896</v>
      </c>
      <c r="C32" s="118" t="s">
        <v>897</v>
      </c>
      <c r="D32" s="141">
        <f>'Order form'!Q28</f>
        <v>0</v>
      </c>
      <c r="E32" s="119"/>
      <c r="F32" s="119"/>
      <c r="G32" s="120" t="s">
        <v>683</v>
      </c>
      <c r="H32" s="121">
        <f>'[1]Price list'!$C32</f>
        <v>0</v>
      </c>
      <c r="I32" s="122">
        <f t="shared" si="1"/>
        <v>0</v>
      </c>
      <c r="P32" s="3"/>
    </row>
    <row r="33" spans="1:16" ht="15.75" customHeight="1">
      <c r="B33" s="366"/>
      <c r="C33" s="124" t="s">
        <v>898</v>
      </c>
      <c r="D33" s="125">
        <f>'Order form'!Q29</f>
        <v>0</v>
      </c>
      <c r="E33" s="125"/>
      <c r="F33" s="125"/>
      <c r="G33" s="126" t="s">
        <v>683</v>
      </c>
      <c r="H33" s="127">
        <f>'[1]Price list'!$C33</f>
        <v>0</v>
      </c>
      <c r="I33" s="128">
        <f t="shared" si="1"/>
        <v>0</v>
      </c>
      <c r="P33" s="3"/>
    </row>
    <row r="34" spans="1:16" ht="15.75" customHeight="1">
      <c r="B34" s="366"/>
      <c r="C34" s="124" t="s">
        <v>899</v>
      </c>
      <c r="D34" s="125">
        <f>'Order form'!Q30</f>
        <v>0</v>
      </c>
      <c r="E34" s="125"/>
      <c r="F34" s="125"/>
      <c r="G34" s="126" t="s">
        <v>683</v>
      </c>
      <c r="H34" s="127">
        <f>'[1]Price list'!$C34</f>
        <v>0</v>
      </c>
      <c r="I34" s="128">
        <f t="shared" si="1"/>
        <v>0</v>
      </c>
      <c r="P34" s="3"/>
    </row>
    <row r="35" spans="1:16" s="205" customFormat="1" ht="15.75" customHeight="1" thickBot="1">
      <c r="A35" s="208"/>
      <c r="B35" s="367"/>
      <c r="C35" s="206" t="s">
        <v>1046</v>
      </c>
      <c r="D35" s="235">
        <f>'Order form'!Q31</f>
        <v>0</v>
      </c>
      <c r="E35" s="233"/>
      <c r="F35" s="233"/>
      <c r="G35" s="234" t="s">
        <v>683</v>
      </c>
      <c r="H35" s="131">
        <f>'[1]Price list'!$C35</f>
        <v>0</v>
      </c>
      <c r="I35" s="139"/>
      <c r="P35" s="207"/>
    </row>
    <row r="36" spans="1:16" ht="15.75" customHeight="1">
      <c r="B36" s="365" t="s">
        <v>663</v>
      </c>
      <c r="C36" s="118" t="s">
        <v>664</v>
      </c>
      <c r="D36" s="141">
        <f>IF('Order form'!Q49="automatic (standard)",1,0)</f>
        <v>0</v>
      </c>
      <c r="E36" s="115"/>
      <c r="F36" s="115"/>
      <c r="G36" s="120" t="s">
        <v>683</v>
      </c>
      <c r="H36" s="121">
        <f>'[1]Price list'!$C36</f>
        <v>0</v>
      </c>
      <c r="I36" s="134">
        <f t="shared" si="1"/>
        <v>0</v>
      </c>
      <c r="P36" s="3"/>
    </row>
    <row r="37" spans="1:16" ht="15.75" customHeight="1">
      <c r="B37" s="366"/>
      <c r="C37" s="124" t="s">
        <v>900</v>
      </c>
      <c r="D37" s="125">
        <f>IF('Order form'!Q48="special",1,0)</f>
        <v>0</v>
      </c>
      <c r="E37" s="125"/>
      <c r="F37" s="125"/>
      <c r="G37" s="126" t="s">
        <v>683</v>
      </c>
      <c r="H37" s="127">
        <f>'[1]Price list'!$C37</f>
        <v>0</v>
      </c>
      <c r="I37" s="128">
        <f t="shared" si="1"/>
        <v>0</v>
      </c>
      <c r="P37" s="3"/>
    </row>
    <row r="38" spans="1:16" ht="15.75" customHeight="1">
      <c r="B38" s="366"/>
      <c r="C38" s="124" t="s">
        <v>665</v>
      </c>
      <c r="D38" s="125">
        <f>IF(OR('Order form'!Q50="Upper and lower ramp + front ramp (90° side access)",'Order form'!Q50="Upper and front ramp (without lower)"),1,0)</f>
        <v>0</v>
      </c>
      <c r="E38" s="125"/>
      <c r="F38" s="125"/>
      <c r="G38" s="126" t="s">
        <v>683</v>
      </c>
      <c r="H38" s="127">
        <f>'[1]Price list'!$C38</f>
        <v>0</v>
      </c>
      <c r="I38" s="128">
        <f>H38*D38</f>
        <v>0</v>
      </c>
      <c r="P38" s="3"/>
    </row>
    <row r="39" spans="1:16" ht="15.75" customHeight="1">
      <c r="B39" s="366"/>
      <c r="C39" s="135" t="s">
        <v>666</v>
      </c>
      <c r="D39" s="125">
        <f>IF('Order form'!Q51="yes",1,0)</f>
        <v>0</v>
      </c>
      <c r="E39" s="125"/>
      <c r="F39" s="125"/>
      <c r="G39" s="126" t="s">
        <v>683</v>
      </c>
      <c r="H39" s="127">
        <f>'[1]Price list'!$C39</f>
        <v>0</v>
      </c>
      <c r="I39" s="128">
        <f>H39*D39</f>
        <v>0</v>
      </c>
      <c r="P39" s="3"/>
    </row>
    <row r="40" spans="1:16" ht="15.75" customHeight="1">
      <c r="B40" s="366"/>
      <c r="C40" s="135" t="s">
        <v>667</v>
      </c>
      <c r="D40" s="125">
        <f>IF('Order form'!Q50="Upper and front ramp (without lower)",1,0)</f>
        <v>0</v>
      </c>
      <c r="E40" s="125"/>
      <c r="F40" s="125"/>
      <c r="G40" s="126" t="s">
        <v>683</v>
      </c>
      <c r="H40" s="127">
        <f>'[1]Price list'!$C40</f>
        <v>0</v>
      </c>
      <c r="I40" s="128">
        <f>H40*D40</f>
        <v>0</v>
      </c>
      <c r="P40" s="3"/>
    </row>
    <row r="41" spans="1:16" ht="15.75" customHeight="1">
      <c r="B41" s="366"/>
      <c r="C41" s="136" t="s">
        <v>494</v>
      </c>
      <c r="D41" s="125">
        <f>IF('Order form'!Q54="yes",1,0)</f>
        <v>0</v>
      </c>
      <c r="E41" s="137"/>
      <c r="F41" s="137"/>
      <c r="G41" s="138" t="s">
        <v>683</v>
      </c>
      <c r="H41" s="127">
        <f>'[1]Price list'!$C41</f>
        <v>0</v>
      </c>
      <c r="I41" s="128">
        <f t="shared" ref="I41:I51" si="2">H41*D41</f>
        <v>0</v>
      </c>
      <c r="P41" s="3"/>
    </row>
    <row r="42" spans="1:16" ht="15.75" customHeight="1">
      <c r="B42" s="366"/>
      <c r="C42" s="136" t="s">
        <v>668</v>
      </c>
      <c r="D42" s="125">
        <f>IF('Order form'!Q52="300 mm (special)",1,0)</f>
        <v>0</v>
      </c>
      <c r="E42" s="137"/>
      <c r="F42" s="137"/>
      <c r="G42" s="138" t="s">
        <v>683</v>
      </c>
      <c r="H42" s="127">
        <f>'[1]Price list'!$C42</f>
        <v>0</v>
      </c>
      <c r="I42" s="128">
        <f t="shared" si="2"/>
        <v>0</v>
      </c>
      <c r="P42" s="3"/>
    </row>
    <row r="43" spans="1:16" ht="16.5" customHeight="1">
      <c r="B43" s="366"/>
      <c r="C43" s="124" t="s">
        <v>22</v>
      </c>
      <c r="D43" s="125">
        <f>IF('Order form'!Q69="yes",1,0)</f>
        <v>0</v>
      </c>
      <c r="E43" s="125"/>
      <c r="F43" s="125"/>
      <c r="G43" s="126" t="s">
        <v>683</v>
      </c>
      <c r="H43" s="127">
        <f>'[1]Price list'!$C43</f>
        <v>0</v>
      </c>
      <c r="I43" s="128">
        <f t="shared" si="2"/>
        <v>0</v>
      </c>
      <c r="P43" s="3"/>
    </row>
    <row r="44" spans="1:16" ht="16.5" customHeight="1">
      <c r="B44" s="366"/>
      <c r="C44" s="136" t="s">
        <v>669</v>
      </c>
      <c r="D44" s="137">
        <f>IF('Order form'!Q71="yes",1,0)</f>
        <v>0</v>
      </c>
      <c r="E44" s="137"/>
      <c r="F44" s="137"/>
      <c r="G44" s="126" t="s">
        <v>683</v>
      </c>
      <c r="H44" s="127">
        <f>'[1]Price list'!$C44</f>
        <v>0</v>
      </c>
      <c r="I44" s="128">
        <f t="shared" si="2"/>
        <v>0</v>
      </c>
      <c r="P44" s="3"/>
    </row>
    <row r="45" spans="1:16" ht="15.75" customHeight="1">
      <c r="B45" s="366"/>
      <c r="C45" s="136" t="s">
        <v>670</v>
      </c>
      <c r="D45" s="137">
        <f>IF('Order form'!Q46="With upholstery folding seat",1,0)</f>
        <v>0</v>
      </c>
      <c r="E45" s="137"/>
      <c r="F45" s="137"/>
      <c r="G45" s="126" t="s">
        <v>683</v>
      </c>
      <c r="H45" s="127">
        <f>'[1]Price list'!$C45</f>
        <v>0</v>
      </c>
      <c r="I45" s="139">
        <f t="shared" si="2"/>
        <v>0</v>
      </c>
      <c r="P45" s="3"/>
    </row>
    <row r="46" spans="1:16" ht="15.75" customHeight="1" thickBot="1">
      <c r="B46" s="366"/>
      <c r="C46" s="136" t="s">
        <v>671</v>
      </c>
      <c r="D46" s="137">
        <f>IF('Order form'!Q46="With steel folding seat",1,0)</f>
        <v>0</v>
      </c>
      <c r="E46" s="137"/>
      <c r="F46" s="137"/>
      <c r="G46" s="138" t="s">
        <v>683</v>
      </c>
      <c r="H46" s="131">
        <f>'[1]Price list'!$C46</f>
        <v>0</v>
      </c>
      <c r="I46" s="140">
        <f t="shared" si="2"/>
        <v>0</v>
      </c>
      <c r="P46" s="3"/>
    </row>
    <row r="47" spans="1:16" ht="15.75" customHeight="1">
      <c r="B47" s="368" t="s">
        <v>901</v>
      </c>
      <c r="C47" s="118" t="s">
        <v>672</v>
      </c>
      <c r="D47" s="141">
        <f>IF('Order form'!Q72="Connex glass",'Order form'!AA72,0)</f>
        <v>0</v>
      </c>
      <c r="E47" s="141"/>
      <c r="F47" s="119"/>
      <c r="G47" s="120" t="s">
        <v>683</v>
      </c>
      <c r="H47" s="121">
        <f>'[1]Price list'!$C47</f>
        <v>0</v>
      </c>
      <c r="I47" s="134">
        <f t="shared" si="2"/>
        <v>0</v>
      </c>
      <c r="P47" s="3"/>
    </row>
    <row r="48" spans="1:16" ht="15.75" customHeight="1">
      <c r="B48" s="369"/>
      <c r="C48" s="124" t="s">
        <v>673</v>
      </c>
      <c r="D48" s="142">
        <f>IF('Order form'!Q72="perforated metal plate",'Order form'!AA72,0)</f>
        <v>0</v>
      </c>
      <c r="E48" s="142"/>
      <c r="F48" s="125"/>
      <c r="G48" s="126" t="s">
        <v>683</v>
      </c>
      <c r="H48" s="127">
        <f>'[1]Price list'!$C48</f>
        <v>0</v>
      </c>
      <c r="I48" s="128">
        <f t="shared" si="2"/>
        <v>0</v>
      </c>
      <c r="P48" s="3"/>
    </row>
    <row r="49" spans="1:16" ht="15.75" customHeight="1">
      <c r="B49" s="369"/>
      <c r="C49" s="136" t="s">
        <v>674</v>
      </c>
      <c r="D49" s="142">
        <f>IF('Order form'!Q72="wood",'Order form'!AA72,0)</f>
        <v>0</v>
      </c>
      <c r="E49" s="142"/>
      <c r="F49" s="137"/>
      <c r="G49" s="138" t="s">
        <v>683</v>
      </c>
      <c r="H49" s="127">
        <f>'[1]Price list'!$C49</f>
        <v>0</v>
      </c>
      <c r="I49" s="128">
        <f t="shared" si="2"/>
        <v>0</v>
      </c>
      <c r="P49" s="3"/>
    </row>
    <row r="50" spans="1:16" ht="15.75" customHeight="1">
      <c r="B50" s="369"/>
      <c r="C50" s="124" t="s">
        <v>675</v>
      </c>
      <c r="D50" s="142">
        <f>IF('Order form'!Q72="steel rods",'Order form'!AA72,0)</f>
        <v>0</v>
      </c>
      <c r="E50" s="142"/>
      <c r="F50" s="125"/>
      <c r="G50" s="126" t="s">
        <v>683</v>
      </c>
      <c r="H50" s="127">
        <f>'[1]Price list'!$C50</f>
        <v>0</v>
      </c>
      <c r="I50" s="128">
        <f>H50*D50</f>
        <v>0</v>
      </c>
      <c r="P50" s="3"/>
    </row>
    <row r="51" spans="1:16" ht="15.75" customHeight="1" thickBot="1">
      <c r="B51" s="370"/>
      <c r="C51" s="136" t="s">
        <v>676</v>
      </c>
      <c r="D51" s="143">
        <f>IF('Order form'!Q72="Stainless steel rods",'Order form'!AA72,0)</f>
        <v>0</v>
      </c>
      <c r="E51" s="143"/>
      <c r="F51" s="137"/>
      <c r="G51" s="138" t="s">
        <v>683</v>
      </c>
      <c r="H51" s="131">
        <f>'[1]Price list'!$C51</f>
        <v>0</v>
      </c>
      <c r="I51" s="139">
        <f t="shared" si="2"/>
        <v>0</v>
      </c>
      <c r="P51" s="3"/>
    </row>
    <row r="52" spans="1:16" ht="15.75" customHeight="1">
      <c r="B52" s="365" t="s">
        <v>23</v>
      </c>
      <c r="C52" s="118" t="s">
        <v>902</v>
      </c>
      <c r="D52" s="144">
        <f>IF('Order form'!Q56="Big push buttons (special)",'Order form'!Q58,0)</f>
        <v>0</v>
      </c>
      <c r="E52" s="144"/>
      <c r="F52" s="144"/>
      <c r="G52" s="145" t="s">
        <v>683</v>
      </c>
      <c r="H52" s="121">
        <f>'[1]Price list'!$C52</f>
        <v>0</v>
      </c>
      <c r="I52" s="122">
        <f>H52*D52</f>
        <v>0</v>
      </c>
      <c r="P52" s="3"/>
    </row>
    <row r="53" spans="1:16" ht="15.75" customHeight="1">
      <c r="B53" s="366"/>
      <c r="C53" s="124" t="s">
        <v>903</v>
      </c>
      <c r="D53" s="142">
        <f>'Order form'!Q58-2</f>
        <v>0</v>
      </c>
      <c r="E53" s="142"/>
      <c r="F53" s="142"/>
      <c r="G53" s="146" t="s">
        <v>683</v>
      </c>
      <c r="H53" s="127">
        <f>'[1]Price list'!$C53</f>
        <v>0</v>
      </c>
      <c r="I53" s="128">
        <f>H53*D53</f>
        <v>0</v>
      </c>
      <c r="P53" s="3"/>
    </row>
    <row r="54" spans="1:16" ht="15.75" customHeight="1">
      <c r="B54" s="366"/>
      <c r="C54" s="124" t="s">
        <v>496</v>
      </c>
      <c r="D54" s="142">
        <f>IF('Order form'!Q60="yes",1,0)</f>
        <v>0</v>
      </c>
      <c r="E54" s="142"/>
      <c r="F54" s="142"/>
      <c r="G54" s="146" t="s">
        <v>683</v>
      </c>
      <c r="H54" s="127">
        <f>'[1]Price list'!$C54</f>
        <v>0</v>
      </c>
      <c r="I54" s="128">
        <f>H54*D54</f>
        <v>0</v>
      </c>
      <c r="M54" s="204"/>
      <c r="P54" s="3"/>
    </row>
    <row r="55" spans="1:16" ht="15.75" customHeight="1">
      <c r="B55" s="366"/>
      <c r="C55" s="147" t="s">
        <v>529</v>
      </c>
      <c r="D55" s="148">
        <f>IF('Order form'!Q57="EURO key",'Order form'!Q58,0)</f>
        <v>0</v>
      </c>
      <c r="E55" s="148"/>
      <c r="F55" s="148"/>
      <c r="G55" s="149" t="s">
        <v>683</v>
      </c>
      <c r="H55" s="127">
        <f>'[1]Price list'!$C55</f>
        <v>0</v>
      </c>
      <c r="I55" s="128">
        <f>H55*D55</f>
        <v>0</v>
      </c>
      <c r="P55" s="3"/>
    </row>
    <row r="56" spans="1:16" ht="15.75" customHeight="1" thickBot="1">
      <c r="B56" s="367"/>
      <c r="C56" s="191" t="s">
        <v>677</v>
      </c>
      <c r="D56" s="150">
        <f>IF(OR('Order form'!Q55="dual controls with joystick on the platform",'Order form'!Q55="dual controls with push buttons on the platform"),1,0)</f>
        <v>0</v>
      </c>
      <c r="E56" s="150"/>
      <c r="F56" s="150"/>
      <c r="G56" s="151" t="s">
        <v>683</v>
      </c>
      <c r="H56" s="131">
        <f>'[1]Price list'!$C56</f>
        <v>0</v>
      </c>
      <c r="I56" s="152">
        <f t="shared" ref="I56:I68" si="3">H56*D56</f>
        <v>0</v>
      </c>
      <c r="J56" s="153"/>
      <c r="P56" s="3"/>
    </row>
    <row r="57" spans="1:16" ht="15.75" customHeight="1">
      <c r="B57" s="230" t="s">
        <v>11</v>
      </c>
      <c r="C57" s="154" t="s">
        <v>904</v>
      </c>
      <c r="D57" s="155">
        <f>IF(OR('Order form'!AD90="RAL:",'Order form'!AD91="RAL:",'Order form'!AD92="RAL:",'Order form'!AD93="RAL:"),1,0)</f>
        <v>0</v>
      </c>
      <c r="E57" s="155"/>
      <c r="F57" s="155"/>
      <c r="G57" s="156" t="s">
        <v>683</v>
      </c>
      <c r="H57" s="121">
        <f>'[1]Price list'!$C57</f>
        <v>0</v>
      </c>
      <c r="I57" s="122">
        <f t="shared" si="3"/>
        <v>0</v>
      </c>
      <c r="P57" s="3"/>
    </row>
    <row r="58" spans="1:16" ht="15.75" customHeight="1">
      <c r="B58" s="231"/>
      <c r="C58" s="124" t="s">
        <v>1053</v>
      </c>
      <c r="D58" s="125">
        <f>IF(OR('Order form'!Q92="zinc + special RAL",'Order form'!Q92="zinc (outdoor standard)"),D18+3,0)</f>
        <v>0</v>
      </c>
      <c r="E58" s="125"/>
      <c r="F58" s="125"/>
      <c r="G58" s="126" t="s">
        <v>0</v>
      </c>
      <c r="H58" s="127">
        <f>'[1]Price list'!$C58</f>
        <v>0</v>
      </c>
      <c r="I58" s="117">
        <f t="shared" si="3"/>
        <v>0</v>
      </c>
      <c r="P58" s="3"/>
    </row>
    <row r="59" spans="1:16" ht="15.75" customHeight="1">
      <c r="B59" s="231"/>
      <c r="C59" s="124" t="s">
        <v>905</v>
      </c>
      <c r="D59" s="188">
        <f>IF(OR('Order form'!Q93="zinc + special RAL",'Order form'!Q93="zinc + RAL 7035 (outdoor standard)",'Order form'!Q93="zinc (outdoor standard)"),D27,0)</f>
        <v>0</v>
      </c>
      <c r="E59" s="125"/>
      <c r="F59" s="125"/>
      <c r="G59" s="126" t="s">
        <v>683</v>
      </c>
      <c r="H59" s="127">
        <f>'[1]Price list'!$C59</f>
        <v>0</v>
      </c>
      <c r="I59" s="117">
        <f t="shared" si="3"/>
        <v>0</v>
      </c>
      <c r="P59" s="3"/>
    </row>
    <row r="60" spans="1:16" ht="15.75" customHeight="1">
      <c r="B60" s="231"/>
      <c r="C60" s="157" t="s">
        <v>906</v>
      </c>
      <c r="D60" s="125">
        <f>IF(OR('Order form'!Q90="zinc + special RAL",'Order form'!Q90="zinc + RAL 7035 (outdoor standard)"),1,0)</f>
        <v>0</v>
      </c>
      <c r="E60" s="125"/>
      <c r="F60" s="125"/>
      <c r="G60" s="126" t="s">
        <v>683</v>
      </c>
      <c r="H60" s="127">
        <f>'[1]Price list'!$C60</f>
        <v>0</v>
      </c>
      <c r="I60" s="128">
        <f t="shared" si="3"/>
        <v>0</v>
      </c>
      <c r="P60" s="3"/>
    </row>
    <row r="61" spans="1:16" s="205" customFormat="1" ht="15.75" customHeight="1">
      <c r="A61" s="208"/>
      <c r="B61" s="231"/>
      <c r="C61" s="157" t="s">
        <v>1054</v>
      </c>
      <c r="D61" s="125">
        <f>IF(OR('Order form'!Q91="zinc + special RAL",'Order form'!Q91="zinc + RAL 7035 (outdoor standard)"),1,0)</f>
        <v>0</v>
      </c>
      <c r="E61" s="125"/>
      <c r="F61" s="125"/>
      <c r="G61" s="126" t="s">
        <v>683</v>
      </c>
      <c r="H61" s="127">
        <f>'[1]Price list'!$C61</f>
        <v>0</v>
      </c>
      <c r="I61" s="128"/>
      <c r="P61" s="207"/>
    </row>
    <row r="62" spans="1:16" ht="15.75" customHeight="1">
      <c r="B62" s="231"/>
      <c r="C62" s="124" t="s">
        <v>907</v>
      </c>
      <c r="D62" s="125">
        <f>IF(OR('Order form'!Q90="stainless 304 + special RAL",'Order form'!Q90="stainless 316 + special RAL"),1,0)</f>
        <v>0</v>
      </c>
      <c r="E62" s="125"/>
      <c r="F62" s="125"/>
      <c r="G62" s="126" t="s">
        <v>683</v>
      </c>
      <c r="H62" s="127">
        <f>'[1]Price list'!$C62</f>
        <v>0</v>
      </c>
      <c r="I62" s="128">
        <f t="shared" si="3"/>
        <v>0</v>
      </c>
      <c r="P62" s="3"/>
    </row>
    <row r="63" spans="1:16" ht="15.75" customHeight="1">
      <c r="B63" s="231"/>
      <c r="C63" s="124" t="s">
        <v>908</v>
      </c>
      <c r="D63" s="125">
        <f>IF('Order form'!Q92="stainless 304",D18+3,0)</f>
        <v>0</v>
      </c>
      <c r="E63" s="125"/>
      <c r="F63" s="125"/>
      <c r="G63" s="126" t="s">
        <v>0</v>
      </c>
      <c r="H63" s="127">
        <f>'[1]Price list'!$C63</f>
        <v>0</v>
      </c>
      <c r="I63" s="128">
        <f t="shared" si="3"/>
        <v>0</v>
      </c>
      <c r="P63" s="3"/>
    </row>
    <row r="64" spans="1:16" ht="15.75" customHeight="1">
      <c r="B64" s="231"/>
      <c r="C64" s="124" t="s">
        <v>909</v>
      </c>
      <c r="D64" s="125">
        <f>IF('Order form'!Q92="stainless 316",D18+3,0)</f>
        <v>0</v>
      </c>
      <c r="E64" s="125"/>
      <c r="F64" s="125"/>
      <c r="G64" s="126" t="s">
        <v>0</v>
      </c>
      <c r="H64" s="127">
        <f>'[1]Price list'!$C64</f>
        <v>0</v>
      </c>
      <c r="I64" s="128">
        <f t="shared" si="3"/>
        <v>0</v>
      </c>
      <c r="P64" s="3"/>
    </row>
    <row r="65" spans="1:16" ht="15.75" customHeight="1">
      <c r="B65" s="231"/>
      <c r="C65" s="124" t="s">
        <v>910</v>
      </c>
      <c r="D65" s="125">
        <f>IF('Order form'!Q93="stainless 304",D27,0)</f>
        <v>0</v>
      </c>
      <c r="E65" s="125"/>
      <c r="F65" s="125"/>
      <c r="G65" s="126" t="s">
        <v>683</v>
      </c>
      <c r="H65" s="127">
        <f>'[1]Price list'!$C65</f>
        <v>0</v>
      </c>
      <c r="I65" s="128">
        <f t="shared" si="3"/>
        <v>0</v>
      </c>
      <c r="P65" s="3"/>
    </row>
    <row r="66" spans="1:16" ht="15.75" customHeight="1" thickBot="1">
      <c r="B66" s="232"/>
      <c r="C66" s="124" t="s">
        <v>911</v>
      </c>
      <c r="D66" s="125">
        <f>IF('Order form'!Q93="stainless 316",D27,0)</f>
        <v>0</v>
      </c>
      <c r="E66" s="125"/>
      <c r="F66" s="125"/>
      <c r="G66" s="126" t="s">
        <v>683</v>
      </c>
      <c r="H66" s="131">
        <f>'[1]Price list'!$C66</f>
        <v>0</v>
      </c>
      <c r="I66" s="128">
        <f t="shared" si="3"/>
        <v>0</v>
      </c>
      <c r="P66" s="3"/>
    </row>
    <row r="67" spans="1:16" ht="15.75" customHeight="1">
      <c r="B67" s="368" t="s">
        <v>912</v>
      </c>
      <c r="C67" s="118" t="s">
        <v>541</v>
      </c>
      <c r="D67" s="119">
        <f>IF('Order form'!Q63="YES",1,0)</f>
        <v>0</v>
      </c>
      <c r="E67" s="119"/>
      <c r="F67" s="119"/>
      <c r="G67" s="120" t="s">
        <v>683</v>
      </c>
      <c r="H67" s="121">
        <f>'[1]Price list'!$C67</f>
        <v>0</v>
      </c>
      <c r="I67" s="122">
        <f t="shared" si="3"/>
        <v>0</v>
      </c>
      <c r="P67" s="3"/>
    </row>
    <row r="68" spans="1:16" ht="15.75" customHeight="1">
      <c r="B68" s="369"/>
      <c r="C68" s="124" t="s">
        <v>542</v>
      </c>
      <c r="D68" s="142">
        <f>IF('Order form'!Q64="YES",1,0)</f>
        <v>0</v>
      </c>
      <c r="E68" s="125"/>
      <c r="F68" s="125"/>
      <c r="G68" s="126" t="s">
        <v>683</v>
      </c>
      <c r="H68" s="127">
        <f>'[1]Price list'!$C68</f>
        <v>0</v>
      </c>
      <c r="I68" s="128">
        <f t="shared" si="3"/>
        <v>0</v>
      </c>
      <c r="P68" s="3"/>
    </row>
    <row r="69" spans="1:16" ht="15.75" customHeight="1">
      <c r="B69" s="369"/>
      <c r="C69" s="124" t="s">
        <v>678</v>
      </c>
      <c r="D69" s="142">
        <f>IF('Order form'!Q65="YES",1,0)</f>
        <v>0</v>
      </c>
      <c r="E69" s="142"/>
      <c r="F69" s="142"/>
      <c r="G69" s="146" t="s">
        <v>683</v>
      </c>
      <c r="H69" s="127">
        <f>'[1]Price list'!$C69</f>
        <v>0</v>
      </c>
      <c r="I69" s="128">
        <f>H69*D69</f>
        <v>0</v>
      </c>
      <c r="P69" s="3"/>
    </row>
    <row r="70" spans="1:16" ht="15.75" customHeight="1" thickBot="1">
      <c r="B70" s="370"/>
      <c r="C70" s="132" t="s">
        <v>913</v>
      </c>
      <c r="D70" s="125">
        <f>IF('Order form'!Q66="YES",1,0)</f>
        <v>0</v>
      </c>
      <c r="E70" s="150"/>
      <c r="F70" s="150"/>
      <c r="G70" s="151" t="s">
        <v>683</v>
      </c>
      <c r="H70" s="131">
        <f>'[1]Price list'!$C70</f>
        <v>0</v>
      </c>
      <c r="I70" s="133">
        <f>D70*H70</f>
        <v>0</v>
      </c>
      <c r="P70" s="3"/>
    </row>
    <row r="71" spans="1:16" ht="18.75" customHeight="1">
      <c r="B71" s="368" t="s">
        <v>24</v>
      </c>
      <c r="C71" s="114" t="s">
        <v>914</v>
      </c>
      <c r="D71" s="119">
        <f>IF('Order form'!Q79="other",'Order form'!AB79,'Order form'!Q79)</f>
        <v>24</v>
      </c>
      <c r="E71" s="115"/>
      <c r="F71" s="115"/>
      <c r="G71" s="116" t="s">
        <v>684</v>
      </c>
      <c r="H71" s="121">
        <f>'[1]Price list'!$C71</f>
        <v>0</v>
      </c>
      <c r="I71" s="117">
        <f>H71*D71</f>
        <v>0</v>
      </c>
      <c r="P71" s="3"/>
    </row>
    <row r="72" spans="1:16" ht="18.75" hidden="1" customHeight="1">
      <c r="B72" s="369"/>
      <c r="C72" s="124"/>
      <c r="D72" s="125"/>
      <c r="E72" s="158"/>
      <c r="F72" s="158"/>
      <c r="G72" s="126"/>
      <c r="H72" s="127">
        <f>'[1]Price list'!$C72</f>
        <v>0</v>
      </c>
      <c r="I72" s="159"/>
      <c r="P72" s="3"/>
    </row>
    <row r="73" spans="1:16" ht="18.75" hidden="1" customHeight="1">
      <c r="B73" s="369"/>
      <c r="C73" s="157"/>
      <c r="D73" s="158"/>
      <c r="E73" s="158"/>
      <c r="F73" s="125"/>
      <c r="G73" s="160"/>
      <c r="H73" s="127">
        <f>'[1]Price list'!$C73</f>
        <v>0</v>
      </c>
      <c r="I73" s="161"/>
      <c r="P73" s="3"/>
    </row>
    <row r="74" spans="1:16" ht="18.75" hidden="1" customHeight="1">
      <c r="B74" s="369"/>
      <c r="C74" s="129"/>
      <c r="D74" s="130"/>
      <c r="E74" s="130"/>
      <c r="F74" s="130"/>
      <c r="G74" s="126"/>
      <c r="H74" s="127">
        <f>'[1]Price list'!$C74</f>
        <v>0</v>
      </c>
      <c r="I74" s="128"/>
      <c r="P74" s="3"/>
    </row>
    <row r="75" spans="1:16" ht="18.75" hidden="1" customHeight="1">
      <c r="B75" s="369"/>
      <c r="C75" s="129"/>
      <c r="D75" s="130"/>
      <c r="E75" s="130"/>
      <c r="F75" s="130"/>
      <c r="G75" s="126"/>
      <c r="H75" s="127">
        <f>'[1]Price list'!$C75</f>
        <v>0</v>
      </c>
      <c r="I75" s="128"/>
      <c r="P75" s="3"/>
    </row>
    <row r="76" spans="1:16" s="205" customFormat="1" ht="18.75" customHeight="1">
      <c r="A76" s="208"/>
      <c r="B76" s="369"/>
      <c r="C76" s="129" t="s">
        <v>1055</v>
      </c>
      <c r="D76" s="130">
        <f>IF('Order form'!Q81="yes",1,0)</f>
        <v>0</v>
      </c>
      <c r="E76" s="130"/>
      <c r="F76" s="130"/>
      <c r="G76" s="126" t="s">
        <v>683</v>
      </c>
      <c r="H76" s="127">
        <f>'[1]Price list'!$C76</f>
        <v>0</v>
      </c>
      <c r="I76" s="128"/>
      <c r="P76" s="207"/>
    </row>
    <row r="77" spans="1:16" ht="15.75" customHeight="1">
      <c r="B77" s="369"/>
      <c r="C77" s="129" t="s">
        <v>25</v>
      </c>
      <c r="D77" s="130">
        <f>IF('Order form'!Q82="none",0,1)</f>
        <v>1</v>
      </c>
      <c r="E77" s="130"/>
      <c r="F77" s="130"/>
      <c r="G77" s="126" t="s">
        <v>683</v>
      </c>
      <c r="H77" s="127">
        <f>'[1]Price list'!$C77</f>
        <v>0</v>
      </c>
      <c r="I77" s="128">
        <f>H77*D77</f>
        <v>0</v>
      </c>
      <c r="P77" s="3"/>
    </row>
    <row r="78" spans="1:16" ht="15.75" customHeight="1">
      <c r="B78" s="369"/>
      <c r="C78" s="129" t="s">
        <v>915</v>
      </c>
      <c r="D78" s="162">
        <f>IF('Order form'!Q87="not specified",0,(IF('Order form'!Q87&gt;11,"1",(IF('Order form'!Q87&gt;8,"2",(IF('Order form'!Q87&gt;5,"3",4)))))))</f>
        <v>4</v>
      </c>
      <c r="E78" s="130"/>
      <c r="F78" s="130"/>
      <c r="G78" s="126" t="s">
        <v>683</v>
      </c>
      <c r="H78" s="127">
        <f>'[1]Price list'!$C78</f>
        <v>0</v>
      </c>
      <c r="I78" s="128">
        <f>H78*D78</f>
        <v>0</v>
      </c>
      <c r="P78" s="3"/>
    </row>
    <row r="79" spans="1:16" ht="15.75" customHeight="1">
      <c r="B79" s="369"/>
      <c r="C79" s="163"/>
      <c r="D79" s="164"/>
      <c r="E79" s="164"/>
      <c r="F79" s="164"/>
      <c r="G79" s="165"/>
      <c r="H79" s="247"/>
      <c r="I79" s="1"/>
      <c r="P79" s="3"/>
    </row>
    <row r="80" spans="1:16" ht="15.75" customHeight="1" thickBot="1">
      <c r="B80" s="370"/>
      <c r="C80" s="167"/>
      <c r="D80" s="168"/>
      <c r="E80" s="168"/>
      <c r="F80" s="168"/>
      <c r="G80" s="169"/>
      <c r="H80" s="248"/>
      <c r="I80" s="2"/>
      <c r="P80" s="3"/>
    </row>
    <row r="81" spans="1:9" ht="15.75" customHeight="1">
      <c r="A81" s="166">
        <v>250</v>
      </c>
      <c r="B81" s="170" t="s">
        <v>60</v>
      </c>
      <c r="C81" s="171"/>
      <c r="D81" s="4"/>
      <c r="E81" s="172"/>
      <c r="F81" s="173"/>
      <c r="G81" s="172"/>
      <c r="H81" s="174"/>
      <c r="I81" s="5">
        <f>SUM(I8:I80)</f>
        <v>0</v>
      </c>
    </row>
    <row r="82" spans="1:9" ht="15" customHeight="1">
      <c r="A82" s="166">
        <v>260</v>
      </c>
      <c r="B82" s="175" t="s">
        <v>61</v>
      </c>
      <c r="C82" s="176"/>
      <c r="D82" s="177"/>
      <c r="E82" s="178"/>
      <c r="F82" s="178"/>
      <c r="G82" s="176"/>
      <c r="H82" s="6">
        <v>0</v>
      </c>
      <c r="I82" s="7">
        <f>H82*I81</f>
        <v>0</v>
      </c>
    </row>
    <row r="83" spans="1:9" ht="15.75" customHeight="1" thickBot="1">
      <c r="A83" s="166">
        <v>270</v>
      </c>
      <c r="B83" s="179" t="s">
        <v>1029</v>
      </c>
      <c r="C83" s="180"/>
      <c r="D83" s="181"/>
      <c r="E83" s="182"/>
      <c r="F83" s="182"/>
      <c r="G83" s="180"/>
      <c r="H83" s="183"/>
      <c r="I83" s="194">
        <f>I81-I82</f>
        <v>0</v>
      </c>
    </row>
    <row r="84" spans="1:9" ht="15.75" customHeight="1" thickBot="1">
      <c r="B84" s="184" t="s">
        <v>16</v>
      </c>
      <c r="C84" s="371">
        <f>'Order form'!Z113</f>
        <v>0</v>
      </c>
      <c r="D84" s="372"/>
      <c r="E84" s="372"/>
      <c r="F84" s="372"/>
      <c r="G84" s="185"/>
      <c r="H84" s="244">
        <f ca="1">'Order form'!AE2</f>
        <v>43720</v>
      </c>
      <c r="I84" s="186"/>
    </row>
  </sheetData>
  <sheetProtection selectLockedCells="1"/>
  <mergeCells count="11">
    <mergeCell ref="B52:B56"/>
    <mergeCell ref="B67:B70"/>
    <mergeCell ref="B71:B80"/>
    <mergeCell ref="C84:F84"/>
    <mergeCell ref="B47:B51"/>
    <mergeCell ref="C2:G2"/>
    <mergeCell ref="D7:F7"/>
    <mergeCell ref="B36:B46"/>
    <mergeCell ref="B18:B31"/>
    <mergeCell ref="B32:B35"/>
    <mergeCell ref="B11:B16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38:C39"/>
    <dataValidation allowBlank="1" showInputMessage="1" showErrorMessage="1" prompt="Standard installation includes 2 side loading ramps LEFT + RIGHT._x000a_If only 1 side is selected, extra costs apply !" sqref="C40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267"/>
  <sheetViews>
    <sheetView topLeftCell="A106" zoomScale="70" zoomScaleNormal="70" workbookViewId="0">
      <selection activeCell="D162" sqref="D162"/>
    </sheetView>
  </sheetViews>
  <sheetFormatPr baseColWidth="10"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830</v>
      </c>
      <c r="F1" s="9" t="s">
        <v>829</v>
      </c>
    </row>
    <row r="2" spans="1:7" ht="15.75" customHeight="1">
      <c r="A2" s="8" t="str">
        <f ca="1">CELL("address",'Order form'!M2)</f>
        <v>'[OMEGA F_order form 09_19.xlsm]Order form'!$M$2</v>
      </c>
      <c r="B2" s="8" t="s">
        <v>213</v>
      </c>
      <c r="C2" s="212" t="s">
        <v>1016</v>
      </c>
      <c r="D2" s="246" t="s">
        <v>1062</v>
      </c>
      <c r="E2" s="212" t="s">
        <v>1017</v>
      </c>
      <c r="F2" s="212" t="s">
        <v>1018</v>
      </c>
      <c r="G2" s="83"/>
    </row>
    <row r="3" spans="1:7" ht="15.75" customHeight="1">
      <c r="A3" s="8" t="str">
        <f ca="1">CELL("address",'Order form'!M3)</f>
        <v>'[OMEGA F_order form 09_19.xlsm]Order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742</v>
      </c>
      <c r="G3" s="83"/>
    </row>
    <row r="4" spans="1:7" ht="15.75" customHeight="1">
      <c r="A4" s="8" t="str">
        <f ca="1">CELL("address",'Order form'!AC2)</f>
        <v>'[OMEGA F_order form 09_19.xlsm]Order form'!$AC$2</v>
      </c>
      <c r="B4" s="8" t="s">
        <v>213</v>
      </c>
      <c r="C4" s="8" t="s">
        <v>679</v>
      </c>
      <c r="D4" s="8" t="s">
        <v>680</v>
      </c>
      <c r="E4" s="8" t="s">
        <v>679</v>
      </c>
      <c r="F4" s="83" t="s">
        <v>743</v>
      </c>
      <c r="G4" s="83"/>
    </row>
    <row r="5" spans="1:7" ht="15.75" customHeight="1">
      <c r="A5" s="8" t="str">
        <f ca="1">CELL("address",'Order form'!B2)</f>
        <v>'[OMEGA F_order form 09_19.xlsm]Order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744</v>
      </c>
      <c r="G5" s="83"/>
    </row>
    <row r="6" spans="1:7" ht="15.75" customHeight="1">
      <c r="A6" s="8" t="str">
        <f ca="1">CELL("address",'Order form'!AC3)</f>
        <v>'[OMEGA F_order form 09_19.xlsm]Order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745</v>
      </c>
      <c r="G6" s="83"/>
    </row>
    <row r="7" spans="1:7" ht="15.75" customHeight="1">
      <c r="A7" s="8" t="str">
        <f ca="1">CELL("address",'Order form'!O5)</f>
        <v>'[OMEGA F_order form 09_19.xlsm]Order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746</v>
      </c>
      <c r="G7" s="83"/>
    </row>
    <row r="8" spans="1:7" ht="15.75" customHeight="1">
      <c r="A8" s="8" t="str">
        <f ca="1">CELL("address",'Order form'!AA5)</f>
        <v>'[OMEGA F_order form 09_19.xlsm]Order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747</v>
      </c>
      <c r="G8" s="83"/>
    </row>
    <row r="9" spans="1:7" ht="15.75" customHeight="1">
      <c r="A9" s="8" t="str">
        <f ca="1">CELL("address",'Order form'!O6)</f>
        <v>'[OMEGA F_order form 09_19.xlsm]Order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748</v>
      </c>
      <c r="G9" s="83"/>
    </row>
    <row r="10" spans="1:7" ht="15.75" customHeight="1">
      <c r="A10" s="8" t="str">
        <f ca="1">CELL("address",'Order form'!AA6)</f>
        <v>'[OMEGA F_order form 09_19.xlsm]Order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748</v>
      </c>
      <c r="G10" s="83"/>
    </row>
    <row r="11" spans="1:7" ht="15.75" customHeight="1">
      <c r="A11" s="8" t="str">
        <f ca="1">CELL("address",'Order form'!O8)</f>
        <v>'[OMEGA F_order form 09_19.xlsm]Order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749</v>
      </c>
      <c r="G11" s="83"/>
    </row>
    <row r="12" spans="1:7" ht="15.75" customHeight="1">
      <c r="A12" s="8" t="str">
        <f ca="1">CELL("address",'Order form'!AA8)</f>
        <v>'[OMEGA F_order form 09_19.xlsm]Order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749</v>
      </c>
      <c r="G12" s="83"/>
    </row>
    <row r="13" spans="1:7" ht="15.75" customHeight="1">
      <c r="A13" s="8" t="str">
        <f ca="1">CELL("address",'Order form'!O9)</f>
        <v>'[OMEGA F_order form 09_19.xlsm]Order form'!$O$9</v>
      </c>
      <c r="B13" s="8" t="s">
        <v>213</v>
      </c>
      <c r="C13" s="8" t="s">
        <v>231</v>
      </c>
      <c r="D13" s="8" t="s">
        <v>657</v>
      </c>
      <c r="E13" s="8" t="s">
        <v>232</v>
      </c>
      <c r="F13" s="83" t="s">
        <v>750</v>
      </c>
      <c r="G13" s="83"/>
    </row>
    <row r="14" spans="1:7" ht="15.75" customHeight="1">
      <c r="A14" s="8" t="str">
        <f ca="1">CELL("address",'Order form'!AA9)</f>
        <v>'[OMEGA F_order form 09_19.xlsm]Order form'!$AA$9</v>
      </c>
      <c r="B14" s="8" t="s">
        <v>213</v>
      </c>
      <c r="C14" s="8" t="s">
        <v>231</v>
      </c>
      <c r="D14" s="8" t="s">
        <v>657</v>
      </c>
      <c r="E14" s="8" t="s">
        <v>232</v>
      </c>
      <c r="F14" s="83" t="s">
        <v>750</v>
      </c>
      <c r="G14" s="83"/>
    </row>
    <row r="15" spans="1:7" ht="15.75" customHeight="1">
      <c r="A15" s="8" t="str">
        <f ca="1">CELL("address",'Order form'!O10)</f>
        <v>'[OMEGA F_order form 09_19.xlsm]Order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751</v>
      </c>
      <c r="G15" s="83"/>
    </row>
    <row r="16" spans="1:7" ht="15.75" customHeight="1">
      <c r="A16" s="8" t="str">
        <f ca="1">CELL("address",'Order form'!AA10)</f>
        <v>'[OMEGA F_order form 09_19.xlsm]Order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751</v>
      </c>
      <c r="G16" s="83"/>
    </row>
    <row r="17" spans="1:7" ht="15.75" customHeight="1">
      <c r="A17" s="8" t="str">
        <f ca="1">CELL("address",'Order form'!O11)</f>
        <v>'[OMEGA F_order form 09_19.xlsm]Order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752</v>
      </c>
      <c r="G17" s="83"/>
    </row>
    <row r="18" spans="1:7" ht="15.75" customHeight="1">
      <c r="A18" s="8" t="str">
        <f ca="1">CELL("address",'Order form'!AA11)</f>
        <v>'[OMEGA F_order form 09_19.xlsm]Order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752</v>
      </c>
      <c r="G18" s="83"/>
    </row>
    <row r="19" spans="1:7" ht="15.75" customHeight="1">
      <c r="A19" s="8" t="str">
        <f ca="1">CELL("address",'Order form'!O12)</f>
        <v>'[OMEGA F_order form 09_19.xlsm]Order form'!$O$12</v>
      </c>
      <c r="B19" s="8" t="s">
        <v>213</v>
      </c>
      <c r="C19" s="8" t="s">
        <v>650</v>
      </c>
      <c r="D19" s="8" t="s">
        <v>651</v>
      </c>
      <c r="E19" s="8" t="s">
        <v>652</v>
      </c>
      <c r="F19" s="83" t="s">
        <v>753</v>
      </c>
      <c r="G19" s="83"/>
    </row>
    <row r="20" spans="1:7" ht="15.75" customHeight="1">
      <c r="A20" s="8" t="str">
        <f ca="1">CELL("address",'Order form'!AA12)</f>
        <v>'[OMEGA F_order form 09_19.xlsm]Order form'!$AA$12</v>
      </c>
      <c r="B20" s="8" t="s">
        <v>213</v>
      </c>
      <c r="C20" s="8" t="s">
        <v>650</v>
      </c>
      <c r="D20" s="8" t="s">
        <v>651</v>
      </c>
      <c r="E20" s="8" t="s">
        <v>652</v>
      </c>
      <c r="F20" s="83" t="s">
        <v>753</v>
      </c>
      <c r="G20" s="83"/>
    </row>
    <row r="21" spans="1:7" ht="15.75" customHeight="1">
      <c r="A21" s="8" t="str">
        <f ca="1">CELL("address",'Order form'!B22)</f>
        <v>'[OMEGA F_order form 09_19.xlsm]Order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754</v>
      </c>
      <c r="G21" s="83"/>
    </row>
    <row r="22" spans="1:7" ht="15.75" customHeight="1">
      <c r="A22" s="8" t="str">
        <f ca="1">CELL("address",'Order form'!B23)</f>
        <v>'[OMEGA F_order form 09_19.xlsm]Order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755</v>
      </c>
      <c r="G22" s="83"/>
    </row>
    <row r="23" spans="1:7" ht="15.75" customHeight="1">
      <c r="A23" s="8" t="str">
        <f ca="1">CELL("address",'Order form'!B16)</f>
        <v>'[OMEGA F_order form 09_19.xlsm]Order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831</v>
      </c>
      <c r="G23" s="83"/>
    </row>
    <row r="24" spans="1:7" ht="15.75" customHeight="1">
      <c r="A24" s="8" t="str">
        <f ca="1">CELL("address",'Order form'!B18)</f>
        <v>'[OMEGA F_order form 09_19.xlsm]Order form'!$B$18</v>
      </c>
      <c r="B24" s="8" t="s">
        <v>213</v>
      </c>
      <c r="C24" s="9" t="s">
        <v>656</v>
      </c>
      <c r="D24" s="9" t="s">
        <v>655</v>
      </c>
      <c r="E24" s="9" t="s">
        <v>486</v>
      </c>
      <c r="F24" s="83" t="s">
        <v>756</v>
      </c>
      <c r="G24" s="83"/>
    </row>
    <row r="25" spans="1:7" ht="15.75" customHeight="1">
      <c r="A25" s="8" t="str">
        <f ca="1">CELL("address",'Order form'!H18)</f>
        <v>'[OMEGA F_order form 09_19.xlsm]Order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757</v>
      </c>
      <c r="G25" s="83"/>
    </row>
    <row r="26" spans="1:7" ht="15.75" customHeight="1">
      <c r="A26" s="8" t="str">
        <f ca="1">CELL("address",'Order form'!B21)</f>
        <v>'[OMEGA F_order form 09_19.xlsm]Order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832</v>
      </c>
      <c r="G26" s="83"/>
    </row>
    <row r="27" spans="1:7" s="205" customFormat="1" ht="15.75" customHeight="1">
      <c r="A27" s="8" t="str">
        <f ca="1">CELL("address",'Order form'!B24)</f>
        <v>'[OMEGA F_order form 09_19.xlsm]Order form'!$B$24</v>
      </c>
      <c r="B27" s="8" t="s">
        <v>213</v>
      </c>
      <c r="C27" s="203" t="s">
        <v>935</v>
      </c>
      <c r="D27" s="203" t="s">
        <v>936</v>
      </c>
      <c r="E27" s="203" t="s">
        <v>937</v>
      </c>
      <c r="F27" s="209" t="s">
        <v>938</v>
      </c>
      <c r="G27" s="83"/>
    </row>
    <row r="28" spans="1:7" ht="15.75" customHeight="1">
      <c r="A28" s="8" t="str">
        <f ca="1">CELL("address",'Order form'!B25)</f>
        <v>'[OMEGA F_order form 09_19.xlsm]Order form'!$B$25</v>
      </c>
      <c r="B28" s="8" t="s">
        <v>213</v>
      </c>
      <c r="C28" s="9" t="s">
        <v>31</v>
      </c>
      <c r="D28" s="9" t="s">
        <v>140</v>
      </c>
      <c r="E28" s="9" t="s">
        <v>251</v>
      </c>
      <c r="F28" t="s">
        <v>833</v>
      </c>
      <c r="G28" s="83"/>
    </row>
    <row r="29" spans="1:7" ht="15.75" customHeight="1">
      <c r="A29" s="8" t="str">
        <f ca="1">CELL("address",'Order form'!B26)</f>
        <v>'[OMEGA F_order form 09_19.xlsm]Order form'!$B$26</v>
      </c>
      <c r="B29" s="8" t="s">
        <v>213</v>
      </c>
      <c r="C29" s="9" t="s">
        <v>28</v>
      </c>
      <c r="D29" s="9" t="s">
        <v>141</v>
      </c>
      <c r="E29" s="78" t="s">
        <v>252</v>
      </c>
      <c r="F29" s="101" t="s">
        <v>834</v>
      </c>
      <c r="G29" s="83"/>
    </row>
    <row r="30" spans="1:7" ht="15.75" customHeight="1">
      <c r="A30" s="8" t="str">
        <f ca="1">CELL("address",'Order form'!B27)</f>
        <v>'[OMEGA F_order form 09_19.xlsm]Order form'!$B$27</v>
      </c>
      <c r="B30" s="8" t="s">
        <v>213</v>
      </c>
      <c r="C30" s="9" t="s">
        <v>29</v>
      </c>
      <c r="D30" s="9" t="s">
        <v>142</v>
      </c>
      <c r="E30" s="78" t="s">
        <v>253</v>
      </c>
      <c r="F30" s="83" t="s">
        <v>758</v>
      </c>
      <c r="G30" s="83"/>
    </row>
    <row r="31" spans="1:7" ht="15.75" customHeight="1">
      <c r="A31" s="8" t="str">
        <f ca="1">CELL("address",'Order form'!B28)</f>
        <v>'[OMEGA F_order form 09_19.xlsm]Order form'!$B$28</v>
      </c>
      <c r="B31" s="8" t="s">
        <v>213</v>
      </c>
      <c r="C31" s="9" t="s">
        <v>49</v>
      </c>
      <c r="D31" s="9" t="s">
        <v>143</v>
      </c>
      <c r="E31" s="78" t="s">
        <v>262</v>
      </c>
      <c r="F31" s="83" t="s">
        <v>759</v>
      </c>
      <c r="G31" s="83"/>
    </row>
    <row r="32" spans="1:7" ht="15.75" customHeight="1">
      <c r="A32" s="8" t="str">
        <f ca="1">CELL("address",'Order form'!B29)</f>
        <v>'[OMEGA F_order form 09_19.xlsm]Order form'!$B$29</v>
      </c>
      <c r="B32" s="8" t="s">
        <v>213</v>
      </c>
      <c r="C32" s="9" t="s">
        <v>50</v>
      </c>
      <c r="D32" s="9" t="s">
        <v>298</v>
      </c>
      <c r="E32" s="78" t="s">
        <v>299</v>
      </c>
      <c r="F32" s="83" t="s">
        <v>760</v>
      </c>
      <c r="G32" s="83"/>
    </row>
    <row r="33" spans="1:7" ht="15.75" customHeight="1">
      <c r="A33" s="8" t="str">
        <f ca="1">CELL("address",'Order form'!B30)</f>
        <v>'[OMEGA F_order form 09_19.xlsm]Order form'!$B$30</v>
      </c>
      <c r="B33" s="8" t="s">
        <v>213</v>
      </c>
      <c r="C33" s="9" t="s">
        <v>51</v>
      </c>
      <c r="D33" s="9" t="s">
        <v>144</v>
      </c>
      <c r="E33" s="78" t="s">
        <v>263</v>
      </c>
      <c r="F33" s="83" t="s">
        <v>761</v>
      </c>
      <c r="G33" s="83"/>
    </row>
    <row r="34" spans="1:7" s="205" customFormat="1" ht="15.75" customHeight="1">
      <c r="A34" s="8" t="str">
        <f ca="1">CELL("address",'Order form'!B31)</f>
        <v>'[OMEGA F_order form 09_19.xlsm]Order form'!$B$31</v>
      </c>
      <c r="B34" s="8" t="s">
        <v>213</v>
      </c>
      <c r="C34" s="203" t="s">
        <v>52</v>
      </c>
      <c r="D34" s="203" t="s">
        <v>145</v>
      </c>
      <c r="E34" s="203" t="s">
        <v>947</v>
      </c>
      <c r="F34" s="210" t="s">
        <v>946</v>
      </c>
      <c r="G34" s="83"/>
    </row>
    <row r="35" spans="1:7" ht="15.75" customHeight="1">
      <c r="A35" s="8" t="str">
        <f ca="1">CELL("address",'Order form'!B32)</f>
        <v>'[OMEGA F_order form 09_19.xlsm]Order form'!$B$32</v>
      </c>
      <c r="B35" s="8" t="s">
        <v>213</v>
      </c>
      <c r="C35" s="85" t="s">
        <v>727</v>
      </c>
      <c r="D35" s="85" t="s">
        <v>728</v>
      </c>
      <c r="E35" s="85" t="s">
        <v>729</v>
      </c>
      <c r="F35" s="101" t="s">
        <v>835</v>
      </c>
      <c r="G35" s="83"/>
    </row>
    <row r="36" spans="1:7" ht="15.75" customHeight="1">
      <c r="A36" s="8" t="str">
        <f ca="1">CELL("address",'Order form'!B33)</f>
        <v>'[OMEGA F_order form 09_19.xlsm]Order form'!$B$33</v>
      </c>
      <c r="B36" s="8" t="s">
        <v>213</v>
      </c>
      <c r="C36" s="86" t="s">
        <v>734</v>
      </c>
      <c r="D36" s="86" t="s">
        <v>735</v>
      </c>
      <c r="E36" s="86" t="s">
        <v>736</v>
      </c>
      <c r="F36" s="101" t="s">
        <v>836</v>
      </c>
      <c r="G36" s="83"/>
    </row>
    <row r="37" spans="1:7" ht="15.75" customHeight="1">
      <c r="A37" s="8" t="str">
        <f ca="1">CELL("address",'Order form'!B34)</f>
        <v>'[OMEGA F_order form 09_19.xlsm]Order form'!$B$34</v>
      </c>
      <c r="B37" s="8" t="s">
        <v>213</v>
      </c>
      <c r="C37" s="9" t="s">
        <v>30</v>
      </c>
      <c r="D37" s="196" t="s">
        <v>924</v>
      </c>
      <c r="E37" s="78" t="s">
        <v>718</v>
      </c>
      <c r="F37" s="101" t="s">
        <v>837</v>
      </c>
      <c r="G37" s="83"/>
    </row>
    <row r="38" spans="1:7" ht="15.75" customHeight="1">
      <c r="A38" s="8" t="str">
        <f ca="1">CELL("address",'Order form'!B35)</f>
        <v>'[OMEGA F_order form 09_19.xlsm]Order form'!$B$35</v>
      </c>
      <c r="B38" s="8" t="s">
        <v>213</v>
      </c>
      <c r="C38" s="9" t="s">
        <v>33</v>
      </c>
      <c r="D38" s="9" t="s">
        <v>146</v>
      </c>
      <c r="E38" s="78" t="s">
        <v>719</v>
      </c>
      <c r="F38" s="83" t="s">
        <v>762</v>
      </c>
      <c r="G38" s="83"/>
    </row>
    <row r="39" spans="1:7" s="205" customFormat="1" ht="15.75" customHeight="1">
      <c r="A39" s="8" t="str">
        <f ca="1">CELL("address",'Order form'!B37)</f>
        <v>'[OMEGA F_order form 09_19.xlsm]Order form'!$B$37</v>
      </c>
      <c r="B39" s="8" t="s">
        <v>213</v>
      </c>
      <c r="C39" s="203" t="s">
        <v>948</v>
      </c>
      <c r="D39" s="203" t="s">
        <v>949</v>
      </c>
      <c r="E39" s="203" t="s">
        <v>950</v>
      </c>
      <c r="F39" s="210" t="s">
        <v>951</v>
      </c>
      <c r="G39" s="83"/>
    </row>
    <row r="40" spans="1:7" s="205" customFormat="1" ht="15.75" customHeight="1">
      <c r="A40" s="8" t="str">
        <f ca="1">CELL("address",'Order form'!B38)</f>
        <v>'[OMEGA F_order form 09_19.xlsm]Order form'!$B$38</v>
      </c>
      <c r="B40" s="8" t="s">
        <v>213</v>
      </c>
      <c r="C40" s="203" t="s">
        <v>952</v>
      </c>
      <c r="D40" s="203" t="s">
        <v>967</v>
      </c>
      <c r="E40" s="203" t="s">
        <v>957</v>
      </c>
      <c r="F40" s="210" t="s">
        <v>961</v>
      </c>
      <c r="G40" s="83"/>
    </row>
    <row r="41" spans="1:7" s="205" customFormat="1" ht="15.75" customHeight="1">
      <c r="A41" s="8" t="str">
        <f ca="1">CELL("address",'Order form'!B39)</f>
        <v>'[OMEGA F_order form 09_19.xlsm]Order form'!$B$39</v>
      </c>
      <c r="B41" s="8" t="s">
        <v>213</v>
      </c>
      <c r="C41" s="203" t="s">
        <v>953</v>
      </c>
      <c r="D41" s="203" t="s">
        <v>968</v>
      </c>
      <c r="E41" s="203" t="s">
        <v>958</v>
      </c>
      <c r="F41" s="210" t="s">
        <v>962</v>
      </c>
      <c r="G41" s="83"/>
    </row>
    <row r="42" spans="1:7" s="205" customFormat="1" ht="15.75" customHeight="1">
      <c r="A42" s="8" t="str">
        <f ca="1">CELL("address",'Order form'!B40)</f>
        <v>'[OMEGA F_order form 09_19.xlsm]Order form'!$B$40</v>
      </c>
      <c r="B42" s="8" t="s">
        <v>213</v>
      </c>
      <c r="C42" s="203" t="s">
        <v>954</v>
      </c>
      <c r="D42" s="203" t="s">
        <v>969</v>
      </c>
      <c r="E42" s="203" t="s">
        <v>959</v>
      </c>
      <c r="F42" s="210" t="s">
        <v>963</v>
      </c>
      <c r="G42" s="83"/>
    </row>
    <row r="43" spans="1:7" s="205" customFormat="1" ht="15.75" customHeight="1">
      <c r="A43" s="8" t="str">
        <f ca="1">CELL("address",'Order form'!B41)</f>
        <v>'[OMEGA F_order form 09_19.xlsm]Order form'!$B$41</v>
      </c>
      <c r="B43" s="8" t="s">
        <v>213</v>
      </c>
      <c r="C43" s="203" t="s">
        <v>955</v>
      </c>
      <c r="D43" s="203" t="s">
        <v>970</v>
      </c>
      <c r="E43" s="203" t="s">
        <v>966</v>
      </c>
      <c r="F43" s="210" t="s">
        <v>965</v>
      </c>
      <c r="G43" s="83"/>
    </row>
    <row r="44" spans="1:7" s="205" customFormat="1" ht="15.75" customHeight="1">
      <c r="A44" s="8" t="str">
        <f ca="1">CELL("address",'Order form'!B42)</f>
        <v>'[OMEGA F_order form 09_19.xlsm]Order form'!$B$42</v>
      </c>
      <c r="B44" s="8" t="s">
        <v>213</v>
      </c>
      <c r="C44" s="203" t="s">
        <v>956</v>
      </c>
      <c r="D44" s="203" t="s">
        <v>971</v>
      </c>
      <c r="E44" s="203" t="s">
        <v>960</v>
      </c>
      <c r="F44" s="210" t="s">
        <v>964</v>
      </c>
      <c r="G44" s="83"/>
    </row>
    <row r="45" spans="1:7" ht="15.75" customHeight="1">
      <c r="A45" s="8" t="str">
        <f ca="1">CELL("address",'Order form'!AB26)</f>
        <v>'[OMEGA F_order form 09_19.xlsm]Order form'!$AB$26</v>
      </c>
      <c r="B45" s="8" t="s">
        <v>305</v>
      </c>
      <c r="C45" s="85" t="s">
        <v>720</v>
      </c>
      <c r="D45" s="85" t="s">
        <v>722</v>
      </c>
      <c r="E45" s="100" t="s">
        <v>724</v>
      </c>
      <c r="F45" s="100" t="s">
        <v>838</v>
      </c>
      <c r="G45" s="83"/>
    </row>
    <row r="46" spans="1:7" ht="15.75" customHeight="1">
      <c r="A46" s="8" t="str">
        <f ca="1">CELL("address",'Order form'!AB27)</f>
        <v>'[OMEGA F_order form 09_19.xlsm]Order form'!$AB$27</v>
      </c>
      <c r="B46" s="8" t="s">
        <v>305</v>
      </c>
      <c r="C46" s="85" t="s">
        <v>721</v>
      </c>
      <c r="D46" s="85" t="s">
        <v>723</v>
      </c>
      <c r="E46" s="85" t="s">
        <v>725</v>
      </c>
      <c r="F46" s="100" t="s">
        <v>839</v>
      </c>
      <c r="G46" s="83"/>
    </row>
    <row r="47" spans="1:7" ht="15.75" customHeight="1">
      <c r="A47" s="8" t="str">
        <f ca="1">CELL("address",'Order form'!Q22)</f>
        <v>'[OMEGA F_order form 09_19.xlsm]Order form'!$Q$22</v>
      </c>
      <c r="B47" s="8" t="s">
        <v>241</v>
      </c>
      <c r="C47" s="9" t="s">
        <v>116</v>
      </c>
      <c r="D47" s="9" t="s">
        <v>148</v>
      </c>
      <c r="E47" s="9" t="s">
        <v>458</v>
      </c>
      <c r="F47" s="11" t="s">
        <v>840</v>
      </c>
      <c r="G47" s="83"/>
    </row>
    <row r="48" spans="1:7" ht="15.75" customHeight="1">
      <c r="A48" s="8" t="str">
        <f ca="1">CELL("address",'Order form'!Q22)</f>
        <v>'[OMEGA F_order form 09_19.xlsm]Order form'!$Q$22</v>
      </c>
      <c r="B48" s="8" t="s">
        <v>241</v>
      </c>
      <c r="C48" s="9" t="s">
        <v>186</v>
      </c>
      <c r="D48" s="9" t="s">
        <v>149</v>
      </c>
      <c r="E48" s="9" t="s">
        <v>459</v>
      </c>
      <c r="F48" s="83" t="s">
        <v>763</v>
      </c>
      <c r="G48" s="83"/>
    </row>
    <row r="49" spans="1:7" ht="15.75" customHeight="1">
      <c r="A49" s="8" t="str">
        <f ca="1">CELL("address",'Order form'!Q23)</f>
        <v>'[OMEGA F_order form 09_19.xlsm]Order form'!$Q$23</v>
      </c>
      <c r="B49" s="8" t="s">
        <v>241</v>
      </c>
      <c r="C49" s="9" t="s">
        <v>187</v>
      </c>
      <c r="D49" s="9" t="s">
        <v>150</v>
      </c>
      <c r="E49" s="9" t="s">
        <v>242</v>
      </c>
      <c r="F49" s="83" t="s">
        <v>764</v>
      </c>
      <c r="G49" s="83"/>
    </row>
    <row r="50" spans="1:7" ht="15.75" customHeight="1">
      <c r="A50" s="8" t="str">
        <f ca="1">CELL("address",'Order form'!Q23)</f>
        <v>'[OMEGA F_order form 09_19.xlsm]Order form'!$Q$23</v>
      </c>
      <c r="B50" s="8" t="s">
        <v>241</v>
      </c>
      <c r="C50" s="9" t="s">
        <v>188</v>
      </c>
      <c r="D50" s="9" t="s">
        <v>151</v>
      </c>
      <c r="E50" s="9" t="s">
        <v>243</v>
      </c>
      <c r="F50" s="83" t="s">
        <v>765</v>
      </c>
      <c r="G50" s="83"/>
    </row>
    <row r="51" spans="1:7" s="205" customFormat="1" ht="15.75" customHeight="1">
      <c r="A51" s="8" t="str">
        <f ca="1">CELL("address",'Order form'!Q24)</f>
        <v>'[OMEGA F_order form 09_19.xlsm]Order form'!$Q$24</v>
      </c>
      <c r="B51" s="8" t="s">
        <v>241</v>
      </c>
      <c r="C51" s="203" t="s">
        <v>933</v>
      </c>
      <c r="D51" s="203" t="s">
        <v>940</v>
      </c>
      <c r="E51" s="203" t="s">
        <v>942</v>
      </c>
      <c r="F51" s="210" t="s">
        <v>945</v>
      </c>
      <c r="G51" s="83"/>
    </row>
    <row r="52" spans="1:7" s="205" customFormat="1" ht="15.75" customHeight="1">
      <c r="A52" s="8" t="str">
        <f ca="1">CELL("address",'Order form'!Q24)</f>
        <v>'[OMEGA F_order form 09_19.xlsm]Order form'!$Q$24</v>
      </c>
      <c r="B52" s="8" t="s">
        <v>241</v>
      </c>
      <c r="C52" s="203" t="s">
        <v>939</v>
      </c>
      <c r="D52" s="203" t="s">
        <v>941</v>
      </c>
      <c r="E52" s="203" t="s">
        <v>943</v>
      </c>
      <c r="F52" s="210" t="s">
        <v>944</v>
      </c>
      <c r="G52" s="83"/>
    </row>
    <row r="53" spans="1:7" ht="15.75" customHeight="1">
      <c r="A53" s="8" t="str">
        <f ca="1">CELL("address",'Order form'!Q26)</f>
        <v>'[OMEGA F_order form 09_19.xlsm]Order form'!$Q$26</v>
      </c>
      <c r="B53" s="8" t="s">
        <v>241</v>
      </c>
      <c r="C53" s="9" t="s">
        <v>189</v>
      </c>
      <c r="D53" s="9" t="s">
        <v>152</v>
      </c>
      <c r="E53" s="9" t="s">
        <v>244</v>
      </c>
      <c r="F53" s="83" t="s">
        <v>766</v>
      </c>
      <c r="G53" s="83"/>
    </row>
    <row r="54" spans="1:7" ht="15.75" customHeight="1">
      <c r="A54" s="8" t="str">
        <f ca="1">CELL("address",'Order form'!Q26)</f>
        <v>'[OMEGA F_order form 09_19.xlsm]Order form'!$Q$26</v>
      </c>
      <c r="B54" s="8" t="s">
        <v>241</v>
      </c>
      <c r="C54" s="9" t="s">
        <v>245</v>
      </c>
      <c r="D54" s="9" t="s">
        <v>153</v>
      </c>
      <c r="E54" s="9" t="s">
        <v>246</v>
      </c>
      <c r="F54" s="83" t="s">
        <v>767</v>
      </c>
      <c r="G54" s="83"/>
    </row>
    <row r="55" spans="1:7" ht="15.75" customHeight="1">
      <c r="A55" s="8" t="str">
        <f ca="1">CELL("address",'Order form'!Q26)</f>
        <v>'[OMEGA F_order form 09_19.xlsm]Order form'!$Q$26</v>
      </c>
      <c r="B55" s="8" t="s">
        <v>241</v>
      </c>
      <c r="C55" s="9" t="s">
        <v>247</v>
      </c>
      <c r="D55" s="9" t="s">
        <v>190</v>
      </c>
      <c r="E55" s="9" t="s">
        <v>248</v>
      </c>
      <c r="F55" s="9" t="s">
        <v>841</v>
      </c>
      <c r="G55" s="83"/>
    </row>
    <row r="56" spans="1:7" ht="15.75" customHeight="1">
      <c r="A56" s="8" t="str">
        <f ca="1">CELL("address",'Order form'!Q26)</f>
        <v>'[OMEGA F_order form 09_19.xlsm]Order form'!$Q$26</v>
      </c>
      <c r="B56" s="8" t="s">
        <v>241</v>
      </c>
      <c r="C56" s="9" t="s">
        <v>102</v>
      </c>
      <c r="D56" s="9" t="s">
        <v>102</v>
      </c>
      <c r="E56" s="9" t="s">
        <v>102</v>
      </c>
      <c r="F56" s="83" t="s">
        <v>102</v>
      </c>
      <c r="G56" s="83"/>
    </row>
    <row r="57" spans="1:7" ht="15.75" customHeight="1">
      <c r="A57" s="8" t="str">
        <f ca="1">CELL("address",'Order form'!Q26)</f>
        <v>'[OMEGA F_order form 09_19.xlsm]Order form'!$Q$26</v>
      </c>
      <c r="B57" s="8" t="s">
        <v>241</v>
      </c>
      <c r="C57" s="9" t="s">
        <v>117</v>
      </c>
      <c r="D57" s="9" t="s">
        <v>117</v>
      </c>
      <c r="E57" s="9" t="s">
        <v>117</v>
      </c>
      <c r="F57" s="83" t="s">
        <v>117</v>
      </c>
      <c r="G57" s="83"/>
    </row>
    <row r="58" spans="1:7" ht="15.75" customHeight="1">
      <c r="A58" s="8" t="str">
        <f ca="1">CELL("address",'Order form'!Q26)</f>
        <v>'[OMEGA F_order form 09_19.xlsm]Order form'!$Q$26</v>
      </c>
      <c r="B58" s="8" t="s">
        <v>241</v>
      </c>
      <c r="C58" s="9" t="s">
        <v>249</v>
      </c>
      <c r="D58" s="9" t="s">
        <v>154</v>
      </c>
      <c r="E58" s="9" t="s">
        <v>250</v>
      </c>
      <c r="F58" s="83" t="s">
        <v>768</v>
      </c>
      <c r="G58" s="83"/>
    </row>
    <row r="59" spans="1:7" ht="15.75" customHeight="1">
      <c r="A59" s="8" t="str">
        <f ca="1">CELL("address",'Order form'!Q27)</f>
        <v>'[OMEGA F_order form 09_19.xlsm]Order form'!$Q$27</v>
      </c>
      <c r="B59" s="8" t="s">
        <v>241</v>
      </c>
      <c r="C59" s="9" t="s">
        <v>254</v>
      </c>
      <c r="D59" s="9" t="s">
        <v>191</v>
      </c>
      <c r="E59" s="9" t="s">
        <v>255</v>
      </c>
      <c r="F59" s="9" t="s">
        <v>842</v>
      </c>
      <c r="G59" s="83"/>
    </row>
    <row r="60" spans="1:7" ht="15.75" customHeight="1">
      <c r="A60" s="8" t="str">
        <f ca="1">CELL("address",'Order form'!Q27)</f>
        <v>'[OMEGA F_order form 09_19.xlsm]Order form'!$Q$27</v>
      </c>
      <c r="B60" s="8" t="s">
        <v>241</v>
      </c>
      <c r="C60" s="9" t="s">
        <v>256</v>
      </c>
      <c r="D60" s="9" t="s">
        <v>192</v>
      </c>
      <c r="E60" s="9" t="s">
        <v>257</v>
      </c>
      <c r="F60" s="100" t="s">
        <v>843</v>
      </c>
      <c r="G60" s="83"/>
    </row>
    <row r="61" spans="1:7" ht="15.75" customHeight="1">
      <c r="A61" s="8" t="str">
        <f ca="1">CELL("address",'Order form'!Q27)</f>
        <v>'[OMEGA F_order form 09_19.xlsm]Order form'!$Q$27</v>
      </c>
      <c r="B61" s="8" t="s">
        <v>241</v>
      </c>
      <c r="C61" s="9" t="s">
        <v>118</v>
      </c>
      <c r="D61" s="9" t="s">
        <v>193</v>
      </c>
      <c r="E61" s="9" t="s">
        <v>258</v>
      </c>
      <c r="F61" s="100" t="s">
        <v>844</v>
      </c>
      <c r="G61" s="83"/>
    </row>
    <row r="62" spans="1:7" ht="15.75" customHeight="1">
      <c r="A62" s="8" t="str">
        <f ca="1">CELL("address",'Order form'!Q27)</f>
        <v>'[OMEGA F_order form 09_19.xlsm]Order form'!$Q$27</v>
      </c>
      <c r="B62" s="8" t="s">
        <v>241</v>
      </c>
      <c r="C62" s="9" t="s">
        <v>119</v>
      </c>
      <c r="D62" s="9" t="s">
        <v>194</v>
      </c>
      <c r="E62" s="9" t="s">
        <v>259</v>
      </c>
      <c r="F62" s="9" t="s">
        <v>845</v>
      </c>
      <c r="G62" s="83"/>
    </row>
    <row r="63" spans="1:7" ht="15.75" customHeight="1">
      <c r="A63" s="8" t="str">
        <f ca="1">CELL("address",'Order form'!Q27)</f>
        <v>'[OMEGA F_order form 09_19.xlsm]Order form'!$Q$27</v>
      </c>
      <c r="B63" s="8" t="s">
        <v>241</v>
      </c>
      <c r="C63" s="9" t="s">
        <v>260</v>
      </c>
      <c r="D63" s="9" t="s">
        <v>195</v>
      </c>
      <c r="E63" s="9" t="s">
        <v>261</v>
      </c>
      <c r="F63" s="9" t="s">
        <v>846</v>
      </c>
      <c r="G63" s="83"/>
    </row>
    <row r="64" spans="1:7" ht="15.75" customHeight="1">
      <c r="A64" s="8" t="str">
        <f ca="1">CELL("address",'Order form'!Q32)</f>
        <v>'[OMEGA F_order form 09_19.xlsm]Order form'!$Q$32</v>
      </c>
      <c r="B64" s="8" t="s">
        <v>241</v>
      </c>
      <c r="C64" s="9" t="s">
        <v>122</v>
      </c>
      <c r="D64" s="85" t="s">
        <v>198</v>
      </c>
      <c r="E64" s="85" t="s">
        <v>410</v>
      </c>
      <c r="F64" s="83" t="s">
        <v>122</v>
      </c>
      <c r="G64" s="83"/>
    </row>
    <row r="65" spans="1:7" ht="15.75" customHeight="1">
      <c r="A65" s="8" t="str">
        <f ca="1">CELL("address",'Order form'!Q32)</f>
        <v>'[OMEGA F_order form 09_19.xlsm]Order form'!$Q$32</v>
      </c>
      <c r="B65" s="8" t="s">
        <v>241</v>
      </c>
      <c r="C65" s="9" t="s">
        <v>189</v>
      </c>
      <c r="D65" s="85" t="s">
        <v>152</v>
      </c>
      <c r="E65" s="85" t="s">
        <v>732</v>
      </c>
      <c r="F65" s="83" t="s">
        <v>766</v>
      </c>
      <c r="G65" s="83"/>
    </row>
    <row r="66" spans="1:7" ht="15.75" customHeight="1">
      <c r="A66" s="8" t="str">
        <f ca="1">CELL("address",'Order form'!Q32)</f>
        <v>'[OMEGA F_order form 09_19.xlsm]Order form'!$Q$32</v>
      </c>
      <c r="B66" s="83" t="s">
        <v>241</v>
      </c>
      <c r="C66" s="85" t="s">
        <v>733</v>
      </c>
      <c r="D66" s="85" t="s">
        <v>730</v>
      </c>
      <c r="E66" s="85" t="s">
        <v>731</v>
      </c>
      <c r="F66" s="83" t="s">
        <v>769</v>
      </c>
      <c r="G66" s="83"/>
    </row>
    <row r="67" spans="1:7" s="205" customFormat="1" ht="15.75" customHeight="1">
      <c r="A67" s="8" t="str">
        <f ca="1">CELL("address",'Order form'!Q38)</f>
        <v>'[OMEGA F_order form 09_19.xlsm]Order form'!$Q$38</v>
      </c>
      <c r="B67" s="83" t="s">
        <v>241</v>
      </c>
      <c r="C67" s="203" t="s">
        <v>1064</v>
      </c>
      <c r="D67" s="249" t="s">
        <v>1064</v>
      </c>
      <c r="E67" s="203" t="s">
        <v>1064</v>
      </c>
      <c r="F67" s="203" t="s">
        <v>1064</v>
      </c>
      <c r="G67" s="83"/>
    </row>
    <row r="68" spans="1:7" s="205" customFormat="1" ht="15.75" customHeight="1">
      <c r="A68" s="8" t="str">
        <f ca="1">CELL("address",'Order form'!Q38)</f>
        <v>'[OMEGA F_order form 09_19.xlsm]Order form'!$Q$38</v>
      </c>
      <c r="B68" s="83" t="s">
        <v>241</v>
      </c>
      <c r="C68" s="203" t="s">
        <v>972</v>
      </c>
      <c r="D68" s="203" t="s">
        <v>972</v>
      </c>
      <c r="E68" s="203" t="s">
        <v>972</v>
      </c>
      <c r="F68" s="203" t="s">
        <v>972</v>
      </c>
      <c r="G68" s="83"/>
    </row>
    <row r="69" spans="1:7" s="205" customFormat="1" ht="15.75" customHeight="1">
      <c r="A69" s="8" t="str">
        <f ca="1">CELL("address",'Order form'!Q39)</f>
        <v>'[OMEGA F_order form 09_19.xlsm]Order form'!$Q$39</v>
      </c>
      <c r="B69" s="83" t="s">
        <v>241</v>
      </c>
      <c r="C69" s="42" t="s">
        <v>122</v>
      </c>
      <c r="D69" s="9" t="s">
        <v>198</v>
      </c>
      <c r="E69" s="9" t="s">
        <v>410</v>
      </c>
      <c r="F69" s="83" t="s">
        <v>122</v>
      </c>
      <c r="G69" s="83"/>
    </row>
    <row r="70" spans="1:7" s="205" customFormat="1" ht="15.75" customHeight="1">
      <c r="A70" s="8" t="str">
        <f ca="1">CELL("address",'Order form'!Q39)</f>
        <v>'[OMEGA F_order form 09_19.xlsm]Order form'!$Q$39</v>
      </c>
      <c r="B70" s="83" t="s">
        <v>241</v>
      </c>
      <c r="C70" s="42" t="s">
        <v>123</v>
      </c>
      <c r="D70" s="9" t="s">
        <v>197</v>
      </c>
      <c r="E70" s="9" t="s">
        <v>409</v>
      </c>
      <c r="F70" s="83" t="s">
        <v>786</v>
      </c>
      <c r="G70" s="83"/>
    </row>
    <row r="71" spans="1:7" s="205" customFormat="1" ht="15.75" customHeight="1">
      <c r="A71" s="8" t="str">
        <f ca="1">CELL("address",'Order form'!Q40)</f>
        <v>'[OMEGA F_order form 09_19.xlsm]Order form'!$Q$40</v>
      </c>
      <c r="B71" s="83" t="s">
        <v>241</v>
      </c>
      <c r="C71" s="42" t="s">
        <v>122</v>
      </c>
      <c r="D71" s="9" t="s">
        <v>198</v>
      </c>
      <c r="E71" s="9" t="s">
        <v>410</v>
      </c>
      <c r="F71" s="83" t="s">
        <v>122</v>
      </c>
      <c r="G71" s="83"/>
    </row>
    <row r="72" spans="1:7" s="205" customFormat="1" ht="15.75" customHeight="1">
      <c r="A72" s="8" t="str">
        <f ca="1">CELL("address",'Order form'!Q40)</f>
        <v>'[OMEGA F_order form 09_19.xlsm]Order form'!$Q$40</v>
      </c>
      <c r="B72" s="83" t="s">
        <v>241</v>
      </c>
      <c r="C72" s="42" t="s">
        <v>123</v>
      </c>
      <c r="D72" s="9" t="s">
        <v>197</v>
      </c>
      <c r="E72" s="9" t="s">
        <v>409</v>
      </c>
      <c r="F72" s="83" t="s">
        <v>786</v>
      </c>
      <c r="G72" s="83"/>
    </row>
    <row r="73" spans="1:7" s="205" customFormat="1" ht="15.75" customHeight="1">
      <c r="A73" s="8" t="str">
        <f ca="1">CELL("address",'Order form'!Q41)</f>
        <v>'[OMEGA F_order form 09_19.xlsm]Order form'!$Q$41</v>
      </c>
      <c r="B73" s="83" t="s">
        <v>241</v>
      </c>
      <c r="C73" s="213" t="s">
        <v>1019</v>
      </c>
      <c r="D73" s="205" t="s">
        <v>1020</v>
      </c>
      <c r="E73" s="205" t="s">
        <v>1021</v>
      </c>
      <c r="F73" s="205" t="s">
        <v>1061</v>
      </c>
      <c r="G73" s="83"/>
    </row>
    <row r="74" spans="1:7" s="205" customFormat="1" ht="15.75" customHeight="1">
      <c r="A74" s="8" t="str">
        <f ca="1">CELL("address",'Order form'!Q41)</f>
        <v>'[OMEGA F_order form 09_19.xlsm]Order form'!$Q$41</v>
      </c>
      <c r="B74" s="83" t="s">
        <v>241</v>
      </c>
      <c r="C74" s="211" t="s">
        <v>1013</v>
      </c>
      <c r="D74" s="211" t="s">
        <v>1014</v>
      </c>
      <c r="E74" s="214" t="s">
        <v>1015</v>
      </c>
      <c r="F74" s="246" t="s">
        <v>1060</v>
      </c>
      <c r="G74" s="83"/>
    </row>
    <row r="75" spans="1:7" s="205" customFormat="1" ht="15.75" customHeight="1">
      <c r="A75" s="8" t="str">
        <f ca="1">CELL("address",'Order form'!Q41)</f>
        <v>'[OMEGA F_order form 09_19.xlsm]Order form'!$Q$41</v>
      </c>
      <c r="B75" s="83" t="s">
        <v>241</v>
      </c>
      <c r="C75" s="223" t="s">
        <v>1038</v>
      </c>
      <c r="D75" s="223" t="s">
        <v>1039</v>
      </c>
      <c r="E75" s="203" t="s">
        <v>976</v>
      </c>
      <c r="F75" s="210" t="s">
        <v>979</v>
      </c>
      <c r="G75" s="83"/>
    </row>
    <row r="76" spans="1:7" s="205" customFormat="1" ht="15.75" customHeight="1">
      <c r="A76" s="8"/>
      <c r="B76" s="83"/>
      <c r="C76" s="203"/>
      <c r="D76" s="203"/>
      <c r="E76" s="85"/>
      <c r="F76" s="210"/>
      <c r="G76" s="83"/>
    </row>
    <row r="77" spans="1:7" s="205" customFormat="1" ht="15.75" customHeight="1">
      <c r="A77" s="8" t="str">
        <f ca="1">CELL("address",'Order form'!Q41)</f>
        <v>'[OMEGA F_order form 09_19.xlsm]Order form'!$Q$41</v>
      </c>
      <c r="B77" s="83" t="s">
        <v>241</v>
      </c>
      <c r="C77" s="203" t="s">
        <v>973</v>
      </c>
      <c r="D77" s="203" t="s">
        <v>977</v>
      </c>
      <c r="E77" s="203" t="s">
        <v>978</v>
      </c>
      <c r="F77" s="210" t="s">
        <v>980</v>
      </c>
      <c r="G77" s="83"/>
    </row>
    <row r="78" spans="1:7" ht="15.75" customHeight="1">
      <c r="A78" s="8" t="str">
        <f ca="1">CELL("address",'Order form'!B44)</f>
        <v>'[OMEGA F_order form 09_19.xlsm]Order form'!$B$44</v>
      </c>
      <c r="B78" s="8" t="s">
        <v>213</v>
      </c>
      <c r="C78" s="42" t="s">
        <v>487</v>
      </c>
      <c r="D78" s="42" t="s">
        <v>572</v>
      </c>
      <c r="E78" s="42" t="s">
        <v>588</v>
      </c>
      <c r="F78" s="83" t="s">
        <v>975</v>
      </c>
      <c r="G78" s="83"/>
    </row>
    <row r="79" spans="1:7" ht="15.75" customHeight="1">
      <c r="A79" s="8" t="str">
        <f ca="1">CELL("address",'Order form'!B45)</f>
        <v>'[OMEGA F_order form 09_19.xlsm]Order form'!$B$45</v>
      </c>
      <c r="B79" s="8" t="s">
        <v>213</v>
      </c>
      <c r="C79" s="42" t="s">
        <v>488</v>
      </c>
      <c r="D79" s="42" t="s">
        <v>160</v>
      </c>
      <c r="E79" s="42" t="s">
        <v>316</v>
      </c>
      <c r="F79" s="83" t="s">
        <v>770</v>
      </c>
      <c r="G79" s="83"/>
    </row>
    <row r="80" spans="1:7" ht="15.75" customHeight="1">
      <c r="A80" s="8" t="str">
        <f ca="1">CELL("address",'Order form'!B46)</f>
        <v>'[OMEGA F_order form 09_19.xlsm]Order form'!$B$46</v>
      </c>
      <c r="B80" s="8" t="s">
        <v>213</v>
      </c>
      <c r="C80" s="42" t="s">
        <v>582</v>
      </c>
      <c r="D80" s="42" t="s">
        <v>583</v>
      </c>
      <c r="E80" s="42" t="s">
        <v>606</v>
      </c>
      <c r="F80" s="83" t="s">
        <v>771</v>
      </c>
      <c r="G80" s="83"/>
    </row>
    <row r="81" spans="1:10" ht="15.75" customHeight="1">
      <c r="A81" s="8" t="str">
        <f ca="1">CELL("address",'Order form'!B47)</f>
        <v>'[OMEGA F_order form 09_19.xlsm]Order form'!$B$47</v>
      </c>
      <c r="B81" s="8" t="s">
        <v>213</v>
      </c>
      <c r="C81" s="42" t="s">
        <v>489</v>
      </c>
      <c r="D81" s="42" t="s">
        <v>518</v>
      </c>
      <c r="E81" s="42" t="s">
        <v>589</v>
      </c>
      <c r="F81" s="83" t="s">
        <v>772</v>
      </c>
      <c r="G81" s="83"/>
    </row>
    <row r="82" spans="1:10" ht="15.75" customHeight="1">
      <c r="A82" s="8" t="str">
        <f ca="1">CELL("address",'Order form'!B48)</f>
        <v>'[OMEGA F_order form 09_19.xlsm]Order form'!$B$48</v>
      </c>
      <c r="B82" s="8" t="s">
        <v>213</v>
      </c>
      <c r="C82" s="42" t="s">
        <v>490</v>
      </c>
      <c r="D82" s="42" t="s">
        <v>519</v>
      </c>
      <c r="E82" s="42" t="s">
        <v>590</v>
      </c>
      <c r="F82" s="83" t="s">
        <v>773</v>
      </c>
      <c r="G82" s="83"/>
    </row>
    <row r="83" spans="1:10" ht="15.75" customHeight="1">
      <c r="A83" s="8" t="str">
        <f ca="1">CELL("address",'Order form'!B49)</f>
        <v>'[OMEGA F_order form 09_19.xlsm]Order form'!$B$49</v>
      </c>
      <c r="B83" s="8" t="s">
        <v>213</v>
      </c>
      <c r="C83" s="42" t="s">
        <v>491</v>
      </c>
      <c r="D83" s="42" t="s">
        <v>520</v>
      </c>
      <c r="E83" s="42" t="s">
        <v>591</v>
      </c>
      <c r="F83" s="83" t="s">
        <v>774</v>
      </c>
      <c r="G83" s="83"/>
    </row>
    <row r="84" spans="1:10" ht="15.75" customHeight="1">
      <c r="A84" s="8" t="str">
        <f ca="1">CELL("address",'Order form'!B50)</f>
        <v>'[OMEGA F_order form 09_19.xlsm]Order form'!$B$50</v>
      </c>
      <c r="B84" s="8" t="s">
        <v>213</v>
      </c>
      <c r="C84" s="42" t="s">
        <v>492</v>
      </c>
      <c r="D84" s="42" t="s">
        <v>573</v>
      </c>
      <c r="E84" s="42" t="s">
        <v>592</v>
      </c>
      <c r="F84" s="83" t="s">
        <v>775</v>
      </c>
      <c r="G84" s="83"/>
    </row>
    <row r="85" spans="1:10" ht="15.75" customHeight="1">
      <c r="A85" s="8" t="str">
        <f ca="1">CELL("address",'Order form'!B51)</f>
        <v>'[OMEGA F_order form 09_19.xlsm]Order form'!$B$51</v>
      </c>
      <c r="B85" s="8" t="s">
        <v>213</v>
      </c>
      <c r="C85" s="42" t="s">
        <v>660</v>
      </c>
      <c r="D85" s="42" t="s">
        <v>661</v>
      </c>
      <c r="E85" s="42" t="s">
        <v>593</v>
      </c>
      <c r="F85" s="101" t="s">
        <v>847</v>
      </c>
      <c r="G85" s="83"/>
      <c r="J85" s="13"/>
    </row>
    <row r="86" spans="1:10" ht="15.75" customHeight="1">
      <c r="A86" s="8" t="str">
        <f ca="1">CELL("address",'Order form'!B52)</f>
        <v>'[OMEGA F_order form 09_19.xlsm]Order form'!$B$52</v>
      </c>
      <c r="B86" s="8" t="s">
        <v>213</v>
      </c>
      <c r="C86" s="42" t="s">
        <v>511</v>
      </c>
      <c r="D86" s="42" t="s">
        <v>512</v>
      </c>
      <c r="E86" s="42" t="s">
        <v>594</v>
      </c>
      <c r="F86" s="83" t="s">
        <v>776</v>
      </c>
      <c r="G86" s="83"/>
      <c r="J86" s="13"/>
    </row>
    <row r="87" spans="1:10" ht="15.75" customHeight="1">
      <c r="A87" s="8" t="str">
        <f ca="1">CELL("address",'Order form'!B53)</f>
        <v>'[OMEGA F_order form 09_19.xlsm]Order form'!$B$53</v>
      </c>
      <c r="B87" s="8" t="s">
        <v>213</v>
      </c>
      <c r="C87" s="42" t="s">
        <v>493</v>
      </c>
      <c r="D87" s="42" t="s">
        <v>574</v>
      </c>
      <c r="E87" s="42" t="s">
        <v>595</v>
      </c>
      <c r="F87" s="83" t="s">
        <v>777</v>
      </c>
      <c r="G87" s="83"/>
      <c r="J87" s="13"/>
    </row>
    <row r="88" spans="1:10" ht="15.75" customHeight="1">
      <c r="A88" s="8" t="str">
        <f ca="1">CELL("address",'Order form'!B54)</f>
        <v>'[OMEGA F_order form 09_19.xlsm]Order form'!$B$54</v>
      </c>
      <c r="B88" s="8" t="s">
        <v>213</v>
      </c>
      <c r="C88" s="42" t="s">
        <v>494</v>
      </c>
      <c r="D88" s="42" t="s">
        <v>575</v>
      </c>
      <c r="E88" s="42" t="s">
        <v>596</v>
      </c>
      <c r="F88" t="s">
        <v>848</v>
      </c>
      <c r="G88" s="83"/>
      <c r="J88" s="13"/>
    </row>
    <row r="89" spans="1:10" ht="15.75" customHeight="1">
      <c r="A89" s="8" t="str">
        <f ca="1">CELL("address",'Order form'!B55)</f>
        <v>'[OMEGA F_order form 09_19.xlsm]Order form'!$B$55</v>
      </c>
      <c r="B89" s="8" t="s">
        <v>213</v>
      </c>
      <c r="C89" s="42" t="s">
        <v>576</v>
      </c>
      <c r="D89" s="42" t="s">
        <v>577</v>
      </c>
      <c r="E89" s="42" t="s">
        <v>597</v>
      </c>
      <c r="F89" t="s">
        <v>849</v>
      </c>
      <c r="G89" s="83"/>
      <c r="J89" s="13"/>
    </row>
    <row r="90" spans="1:10" ht="15.75" customHeight="1">
      <c r="A90" s="8" t="str">
        <f ca="1">CELL("address",'Order form'!B56)</f>
        <v>'[OMEGA F_order form 09_19.xlsm]Order form'!$B$56</v>
      </c>
      <c r="B90" s="8" t="s">
        <v>213</v>
      </c>
      <c r="C90" s="42" t="s">
        <v>53</v>
      </c>
      <c r="D90" s="42" t="s">
        <v>578</v>
      </c>
      <c r="E90" s="42" t="s">
        <v>598</v>
      </c>
      <c r="F90" s="83" t="s">
        <v>778</v>
      </c>
      <c r="G90" s="83"/>
      <c r="J90" s="13"/>
    </row>
    <row r="91" spans="1:10" ht="15.75" customHeight="1">
      <c r="A91" s="8" t="str">
        <f ca="1">CELL("address",'Order form'!B57)</f>
        <v>'[OMEGA F_order form 09_19.xlsm]Order form'!$B$57</v>
      </c>
      <c r="B91" s="8" t="s">
        <v>213</v>
      </c>
      <c r="C91" s="42" t="s">
        <v>54</v>
      </c>
      <c r="D91" s="42" t="s">
        <v>579</v>
      </c>
      <c r="E91" s="42" t="s">
        <v>599</v>
      </c>
      <c r="F91" s="83" t="s">
        <v>779</v>
      </c>
      <c r="G91" s="83"/>
      <c r="J91" s="13"/>
    </row>
    <row r="92" spans="1:10" ht="15.75" customHeight="1">
      <c r="A92" s="8" t="str">
        <f ca="1">CELL("address",'Order form'!B58)</f>
        <v>'[OMEGA F_order form 09_19.xlsm]Order form'!$B$58</v>
      </c>
      <c r="B92" s="8" t="s">
        <v>213</v>
      </c>
      <c r="C92" s="42" t="s">
        <v>55</v>
      </c>
      <c r="D92" s="42" t="s">
        <v>580</v>
      </c>
      <c r="E92" s="42" t="s">
        <v>600</v>
      </c>
      <c r="F92" s="83" t="s">
        <v>780</v>
      </c>
      <c r="G92" s="83"/>
      <c r="J92" s="13"/>
    </row>
    <row r="93" spans="1:10" ht="15.75" customHeight="1">
      <c r="A93" s="8" t="str">
        <f ca="1">CELL("address",'Order form'!B59)</f>
        <v>'[OMEGA F_order form 09_19.xlsm]Order form'!$B$59</v>
      </c>
      <c r="B93" s="8" t="s">
        <v>213</v>
      </c>
      <c r="C93" s="42" t="s">
        <v>495</v>
      </c>
      <c r="D93" s="42" t="s">
        <v>581</v>
      </c>
      <c r="E93" s="42" t="s">
        <v>601</v>
      </c>
      <c r="F93" s="83" t="s">
        <v>781</v>
      </c>
      <c r="G93" s="83"/>
      <c r="J93" s="13"/>
    </row>
    <row r="94" spans="1:10" ht="15.75" customHeight="1">
      <c r="A94" s="8" t="str">
        <f ca="1">CELL("address",'Order form'!B60)</f>
        <v>'[OMEGA F_order form 09_19.xlsm]Order form'!$B$60</v>
      </c>
      <c r="B94" s="8" t="s">
        <v>213</v>
      </c>
      <c r="C94" s="42" t="s">
        <v>496</v>
      </c>
      <c r="D94" s="196" t="s">
        <v>923</v>
      </c>
      <c r="E94" s="42" t="s">
        <v>602</v>
      </c>
      <c r="F94" t="s">
        <v>850</v>
      </c>
      <c r="G94" s="83"/>
      <c r="J94" s="13"/>
    </row>
    <row r="95" spans="1:10" ht="15.75" customHeight="1">
      <c r="A95" s="8" t="str">
        <f ca="1">CELL("address",'Order form'!Q45)</f>
        <v>'[OMEGA F_order form 09_19.xlsm]Order form'!$Q$45</v>
      </c>
      <c r="B95" s="8" t="s">
        <v>241</v>
      </c>
      <c r="C95" s="85" t="s">
        <v>726</v>
      </c>
      <c r="D95" s="68" t="s">
        <v>681</v>
      </c>
      <c r="E95" s="42" t="s">
        <v>682</v>
      </c>
      <c r="F95" s="101" t="s">
        <v>851</v>
      </c>
      <c r="G95" s="83"/>
    </row>
    <row r="96" spans="1:10" ht="15.75" customHeight="1">
      <c r="A96" s="8" t="str">
        <f ca="1">CELL("address",'Order form'!Q45)</f>
        <v>'[OMEGA F_order form 09_19.xlsm]Order form'!$Q$45</v>
      </c>
      <c r="B96" s="8" t="s">
        <v>241</v>
      </c>
      <c r="C96" s="9" t="s">
        <v>121</v>
      </c>
      <c r="D96" s="9" t="s">
        <v>208</v>
      </c>
      <c r="E96" s="42" t="s">
        <v>460</v>
      </c>
      <c r="F96" s="101" t="s">
        <v>852</v>
      </c>
      <c r="G96" s="83"/>
    </row>
    <row r="97" spans="1:7" ht="15.75" customHeight="1">
      <c r="A97" s="8" t="str">
        <f ca="1">CELL("address",'Order form'!Q46)</f>
        <v>'[OMEGA F_order form 09_19.xlsm]Order form'!$Q$46</v>
      </c>
      <c r="B97" s="8" t="s">
        <v>241</v>
      </c>
      <c r="C97" s="42" t="s">
        <v>497</v>
      </c>
      <c r="D97" s="44" t="s">
        <v>584</v>
      </c>
      <c r="E97" s="42" t="s">
        <v>603</v>
      </c>
      <c r="F97" s="101" t="s">
        <v>782</v>
      </c>
      <c r="G97" s="83"/>
    </row>
    <row r="98" spans="1:7" ht="15.75" customHeight="1">
      <c r="A98" s="8" t="str">
        <f ca="1">CELL("address",'Order form'!Q46)</f>
        <v>'[OMEGA F_order form 09_19.xlsm]Order form'!$Q$46</v>
      </c>
      <c r="B98" s="8" t="s">
        <v>241</v>
      </c>
      <c r="C98" s="42" t="s">
        <v>498</v>
      </c>
      <c r="D98" s="44" t="s">
        <v>585</v>
      </c>
      <c r="E98" s="42" t="s">
        <v>604</v>
      </c>
      <c r="F98" t="s">
        <v>853</v>
      </c>
      <c r="G98" s="83"/>
    </row>
    <row r="99" spans="1:7" ht="15.75" customHeight="1">
      <c r="A99" s="8" t="str">
        <f ca="1">CELL("address",'Order form'!Q46)</f>
        <v>'[OMEGA F_order form 09_19.xlsm]Order form'!$Q$46</v>
      </c>
      <c r="B99" s="8" t="s">
        <v>241</v>
      </c>
      <c r="C99" s="42" t="s">
        <v>499</v>
      </c>
      <c r="D99" s="44" t="s">
        <v>586</v>
      </c>
      <c r="E99" s="42" t="s">
        <v>605</v>
      </c>
      <c r="F99" s="83" t="s">
        <v>783</v>
      </c>
      <c r="G99" s="83"/>
    </row>
    <row r="100" spans="1:7" ht="15.75" customHeight="1">
      <c r="A100" s="8" t="str">
        <f ca="1">CELL("address",'Order form'!Q47)</f>
        <v>'[OMEGA F_order form 09_19.xlsm]Order form'!$Q$47</v>
      </c>
      <c r="B100" s="8" t="s">
        <v>241</v>
      </c>
      <c r="C100" s="42" t="s">
        <v>524</v>
      </c>
      <c r="D100" s="42" t="s">
        <v>524</v>
      </c>
      <c r="E100" s="42" t="s">
        <v>524</v>
      </c>
      <c r="F100" s="83" t="s">
        <v>524</v>
      </c>
      <c r="G100" s="83"/>
    </row>
    <row r="101" spans="1:7" ht="15.75" customHeight="1">
      <c r="A101" s="8" t="str">
        <f ca="1">CELL("address",'Order form'!Q47)</f>
        <v>'[OMEGA F_order form 09_19.xlsm]Order form'!$Q$47</v>
      </c>
      <c r="B101" s="8" t="s">
        <v>241</v>
      </c>
      <c r="C101" s="42" t="s">
        <v>525</v>
      </c>
      <c r="D101" s="42" t="s">
        <v>525</v>
      </c>
      <c r="E101" s="42" t="s">
        <v>525</v>
      </c>
      <c r="F101" s="83" t="s">
        <v>525</v>
      </c>
      <c r="G101" s="83"/>
    </row>
    <row r="102" spans="1:7" ht="15.75" customHeight="1">
      <c r="A102" s="8" t="str">
        <f ca="1">CELL("address",'Order form'!Q47)</f>
        <v>'[OMEGA F_order form 09_19.xlsm]Order form'!$Q$47</v>
      </c>
      <c r="B102" s="8" t="s">
        <v>241</v>
      </c>
      <c r="C102" s="42" t="s">
        <v>526</v>
      </c>
      <c r="D102" s="42" t="s">
        <v>526</v>
      </c>
      <c r="E102" s="42" t="s">
        <v>526</v>
      </c>
      <c r="F102" s="83" t="s">
        <v>526</v>
      </c>
      <c r="G102" s="83"/>
    </row>
    <row r="103" spans="1:7" ht="15.75" customHeight="1">
      <c r="A103" s="8" t="str">
        <f ca="1">CELL("address",'Order form'!Q47)</f>
        <v>'[OMEGA F_order form 09_19.xlsm]Order form'!$Q$47</v>
      </c>
      <c r="B103" s="8" t="s">
        <v>241</v>
      </c>
      <c r="C103" s="42" t="s">
        <v>527</v>
      </c>
      <c r="D103" s="42" t="s">
        <v>527</v>
      </c>
      <c r="E103" s="42" t="s">
        <v>527</v>
      </c>
      <c r="F103" s="83" t="s">
        <v>527</v>
      </c>
      <c r="G103" s="83"/>
    </row>
    <row r="104" spans="1:7" ht="15.75" customHeight="1">
      <c r="A104" s="8" t="str">
        <f ca="1">CELL("address",'Order form'!Q48)</f>
        <v>'[OMEGA F_order form 09_19.xlsm]Order form'!$Q$48</v>
      </c>
      <c r="B104" s="8" t="s">
        <v>241</v>
      </c>
      <c r="C104" s="42" t="s">
        <v>502</v>
      </c>
      <c r="D104" s="42" t="s">
        <v>502</v>
      </c>
      <c r="E104" s="42" t="s">
        <v>502</v>
      </c>
      <c r="F104" s="83" t="s">
        <v>502</v>
      </c>
      <c r="G104" s="83"/>
    </row>
    <row r="105" spans="1:7" ht="15.75" customHeight="1">
      <c r="A105" s="8" t="str">
        <f ca="1">CELL("address",'Order form'!Q48)</f>
        <v>'[OMEGA F_order form 09_19.xlsm]Order form'!$Q$48</v>
      </c>
      <c r="B105" s="8" t="s">
        <v>241</v>
      </c>
      <c r="C105" s="42" t="s">
        <v>503</v>
      </c>
      <c r="D105" s="42" t="s">
        <v>503</v>
      </c>
      <c r="E105" s="42" t="s">
        <v>503</v>
      </c>
      <c r="F105" s="83" t="s">
        <v>503</v>
      </c>
      <c r="G105" s="83"/>
    </row>
    <row r="106" spans="1:7" ht="15.75" customHeight="1">
      <c r="A106" s="8" t="str">
        <f ca="1">CELL("address",'Order form'!Q48)</f>
        <v>'[OMEGA F_order form 09_19.xlsm]Order form'!$Q$48</v>
      </c>
      <c r="B106" s="8" t="s">
        <v>241</v>
      </c>
      <c r="C106" s="42" t="s">
        <v>504</v>
      </c>
      <c r="D106" s="42" t="s">
        <v>504</v>
      </c>
      <c r="E106" s="42" t="s">
        <v>504</v>
      </c>
      <c r="F106" s="83" t="s">
        <v>504</v>
      </c>
      <c r="G106" s="83"/>
    </row>
    <row r="107" spans="1:7" ht="15.75" customHeight="1">
      <c r="A107" s="8" t="str">
        <f ca="1">CELL("address",'Order form'!Q48)</f>
        <v>'[OMEGA F_order form 09_19.xlsm]Order form'!$Q$48</v>
      </c>
      <c r="B107" s="8" t="s">
        <v>241</v>
      </c>
      <c r="C107" s="42" t="s">
        <v>500</v>
      </c>
      <c r="D107" s="42" t="s">
        <v>500</v>
      </c>
      <c r="E107" s="42" t="s">
        <v>500</v>
      </c>
      <c r="F107" s="83" t="s">
        <v>500</v>
      </c>
      <c r="G107" s="83"/>
    </row>
    <row r="108" spans="1:7" ht="15.75" customHeight="1">
      <c r="A108" s="8" t="str">
        <f ca="1">CELL("address",'Order form'!Q48)</f>
        <v>'[OMEGA F_order form 09_19.xlsm]Order form'!$Q$48</v>
      </c>
      <c r="B108" s="8" t="s">
        <v>241</v>
      </c>
      <c r="C108" s="42" t="s">
        <v>505</v>
      </c>
      <c r="D108" s="42" t="s">
        <v>505</v>
      </c>
      <c r="E108" s="42" t="s">
        <v>505</v>
      </c>
      <c r="F108" s="101" t="s">
        <v>505</v>
      </c>
      <c r="G108" s="83"/>
    </row>
    <row r="109" spans="1:7" ht="15.75" customHeight="1">
      <c r="A109" s="8" t="str">
        <f ca="1">CELL("address",'Order form'!Q49)</f>
        <v>'[OMEGA F_order form 09_19.xlsm]Order form'!$Q$49</v>
      </c>
      <c r="B109" s="8" t="s">
        <v>241</v>
      </c>
      <c r="C109" s="249" t="s">
        <v>1069</v>
      </c>
      <c r="D109" s="249" t="s">
        <v>1070</v>
      </c>
      <c r="E109" s="249" t="s">
        <v>1071</v>
      </c>
      <c r="F109" s="250" t="s">
        <v>1072</v>
      </c>
      <c r="G109" s="83"/>
    </row>
    <row r="110" spans="1:7" ht="15.75" customHeight="1">
      <c r="A110" s="8" t="str">
        <f ca="1">CELL("address",'Order form'!Q49)</f>
        <v>'[OMEGA F_order form 09_19.xlsm]Order form'!$Q$49</v>
      </c>
      <c r="B110" s="8" t="s">
        <v>241</v>
      </c>
      <c r="C110" s="42" t="s">
        <v>506</v>
      </c>
      <c r="D110" s="42" t="s">
        <v>507</v>
      </c>
      <c r="E110" s="44" t="s">
        <v>607</v>
      </c>
      <c r="F110" s="83" t="s">
        <v>506</v>
      </c>
      <c r="G110" s="83"/>
    </row>
    <row r="111" spans="1:7" ht="15.75" customHeight="1">
      <c r="A111" s="8" t="str">
        <f ca="1">CELL("address",'Order form'!Q50)</f>
        <v>'[OMEGA F_order form 09_19.xlsm]Order form'!$Q$50</v>
      </c>
      <c r="B111" s="8" t="s">
        <v>241</v>
      </c>
      <c r="C111" s="42" t="s">
        <v>515</v>
      </c>
      <c r="D111" s="42" t="s">
        <v>516</v>
      </c>
      <c r="E111" s="42" t="s">
        <v>608</v>
      </c>
      <c r="F111" s="83" t="s">
        <v>784</v>
      </c>
      <c r="G111" s="83"/>
    </row>
    <row r="112" spans="1:7" ht="15.75" customHeight="1">
      <c r="A112" s="8" t="str">
        <f ca="1">CELL("address",'Order form'!Q50)</f>
        <v>'[OMEGA F_order form 09_19.xlsm]Order form'!$Q$50</v>
      </c>
      <c r="B112" s="8" t="s">
        <v>241</v>
      </c>
      <c r="C112" s="42" t="s">
        <v>513</v>
      </c>
      <c r="D112" s="100" t="s">
        <v>737</v>
      </c>
      <c r="E112" s="100" t="s">
        <v>738</v>
      </c>
      <c r="F112" t="s">
        <v>854</v>
      </c>
      <c r="G112" s="83"/>
    </row>
    <row r="113" spans="1:36" ht="15.75" customHeight="1">
      <c r="A113" s="8" t="str">
        <f ca="1">CELL("address",'Order form'!Q50)</f>
        <v>'[OMEGA F_order form 09_19.xlsm]Order form'!$Q$50</v>
      </c>
      <c r="B113" s="8" t="s">
        <v>241</v>
      </c>
      <c r="C113" s="42" t="s">
        <v>514</v>
      </c>
      <c r="D113" s="42" t="s">
        <v>517</v>
      </c>
      <c r="E113" s="44" t="s">
        <v>609</v>
      </c>
      <c r="F113" t="s">
        <v>855</v>
      </c>
      <c r="G113" s="83"/>
    </row>
    <row r="114" spans="1:36" ht="15.75" customHeight="1">
      <c r="A114" s="8" t="str">
        <f ca="1">CELL("address",'Order form'!Q51)</f>
        <v>'[OMEGA F_order form 09_19.xlsm]Order form'!$Q$51</v>
      </c>
      <c r="B114" s="8" t="s">
        <v>241</v>
      </c>
      <c r="C114" s="100" t="s">
        <v>739</v>
      </c>
      <c r="D114" s="100" t="s">
        <v>740</v>
      </c>
      <c r="E114" s="100" t="s">
        <v>741</v>
      </c>
      <c r="F114" s="83" t="s">
        <v>785</v>
      </c>
      <c r="G114" s="83"/>
    </row>
    <row r="115" spans="1:36" ht="15.75" customHeight="1">
      <c r="A115" s="8" t="str">
        <f ca="1">CELL("address",'Order form'!Q51)</f>
        <v>'[OMEGA F_order form 09_19.xlsm]Order form'!$Q$51</v>
      </c>
      <c r="B115" s="8" t="s">
        <v>241</v>
      </c>
      <c r="C115" s="42" t="s">
        <v>123</v>
      </c>
      <c r="D115" s="42" t="s">
        <v>197</v>
      </c>
      <c r="E115" s="42" t="s">
        <v>409</v>
      </c>
      <c r="F115" s="83" t="s">
        <v>786</v>
      </c>
      <c r="G115" s="83"/>
    </row>
    <row r="116" spans="1:36" ht="15.75" customHeight="1">
      <c r="A116" s="8" t="str">
        <f ca="1">CELL("address",'Order form'!Q52)</f>
        <v>'[OMEGA F_order form 09_19.xlsm]Order form'!$Q$52</v>
      </c>
      <c r="B116" s="8" t="s">
        <v>241</v>
      </c>
      <c r="C116" s="42" t="s">
        <v>508</v>
      </c>
      <c r="D116" s="42" t="s">
        <v>508</v>
      </c>
      <c r="E116" s="42" t="s">
        <v>508</v>
      </c>
      <c r="F116" s="83" t="s">
        <v>508</v>
      </c>
      <c r="G116" s="83"/>
    </row>
    <row r="117" spans="1:36" ht="15.75" customHeight="1">
      <c r="A117" s="8" t="str">
        <f ca="1">CELL("address",'Order form'!Q52)</f>
        <v>'[OMEGA F_order form 09_19.xlsm]Order form'!$Q$52</v>
      </c>
      <c r="B117" s="8" t="s">
        <v>241</v>
      </c>
      <c r="C117" s="42" t="s">
        <v>510</v>
      </c>
      <c r="D117" s="196" t="s">
        <v>926</v>
      </c>
      <c r="E117" s="42" t="s">
        <v>510</v>
      </c>
      <c r="F117" s="83" t="s">
        <v>787</v>
      </c>
      <c r="G117" s="83"/>
    </row>
    <row r="118" spans="1:36" ht="15.75" customHeight="1">
      <c r="A118" s="8" t="str">
        <f ca="1">CELL("address",'Order form'!Q52)</f>
        <v>'[OMEGA F_order form 09_19.xlsm]Order form'!$Q$52</v>
      </c>
      <c r="B118" s="8" t="s">
        <v>241</v>
      </c>
      <c r="C118" s="42" t="s">
        <v>509</v>
      </c>
      <c r="D118" s="196" t="s">
        <v>928</v>
      </c>
      <c r="E118" s="42" t="s">
        <v>509</v>
      </c>
      <c r="F118" s="83" t="s">
        <v>788</v>
      </c>
      <c r="G118" s="83"/>
    </row>
    <row r="119" spans="1:36" ht="15.75" customHeight="1">
      <c r="A119" s="8" t="str">
        <f ca="1">CELL("address",'Order form'!Q53)</f>
        <v>'[OMEGA F_order form 09_19.xlsm]Order form'!$Q$53</v>
      </c>
      <c r="B119" s="8" t="s">
        <v>241</v>
      </c>
      <c r="C119" s="42" t="s">
        <v>521</v>
      </c>
      <c r="D119" s="196" t="s">
        <v>925</v>
      </c>
      <c r="E119" s="9" t="s">
        <v>610</v>
      </c>
      <c r="F119" s="83" t="s">
        <v>789</v>
      </c>
      <c r="G119" s="83"/>
    </row>
    <row r="120" spans="1:36" ht="15.75" customHeight="1">
      <c r="A120" s="8" t="str">
        <f ca="1">CELL("address",'Order form'!Q53)</f>
        <v>'[OMEGA F_order form 09_19.xlsm]Order form'!$Q$53</v>
      </c>
      <c r="B120" s="8" t="s">
        <v>241</v>
      </c>
      <c r="C120" s="42" t="s">
        <v>522</v>
      </c>
      <c r="D120" s="42" t="s">
        <v>523</v>
      </c>
      <c r="E120" s="9" t="s">
        <v>611</v>
      </c>
      <c r="F120" s="83" t="s">
        <v>790</v>
      </c>
      <c r="G120" s="83"/>
    </row>
    <row r="121" spans="1:36" ht="15.75" customHeight="1">
      <c r="A121" s="8" t="str">
        <f ca="1">CELL("address",'Order form'!Q54)</f>
        <v>'[OMEGA F_order form 09_19.xlsm]Order form'!$Q$54</v>
      </c>
      <c r="B121" s="8" t="s">
        <v>241</v>
      </c>
      <c r="C121" s="100" t="s">
        <v>739</v>
      </c>
      <c r="D121" s="100" t="s">
        <v>740</v>
      </c>
      <c r="E121" s="100" t="s">
        <v>741</v>
      </c>
      <c r="F121" s="83" t="s">
        <v>785</v>
      </c>
      <c r="G121" s="83"/>
    </row>
    <row r="122" spans="1:36" ht="15.75" customHeight="1">
      <c r="A122" s="8" t="str">
        <f ca="1">CELL("address",'Order form'!Q54)</f>
        <v>'[OMEGA F_order form 09_19.xlsm]Order form'!$Q$54</v>
      </c>
      <c r="B122" s="8" t="s">
        <v>241</v>
      </c>
      <c r="C122" s="42" t="s">
        <v>123</v>
      </c>
      <c r="D122" s="42" t="s">
        <v>197</v>
      </c>
      <c r="E122" s="100" t="s">
        <v>409</v>
      </c>
      <c r="F122" s="83" t="s">
        <v>786</v>
      </c>
      <c r="G122" s="83"/>
      <c r="H122" s="42"/>
      <c r="I122" s="44"/>
    </row>
    <row r="123" spans="1:36" s="40" customFormat="1" ht="15.75" customHeight="1">
      <c r="A123" s="8" t="str">
        <f ca="1">CELL("address",'Order form'!Q55)</f>
        <v>'[OMEGA F_order form 09_19.xlsm]Order form'!$Q$55</v>
      </c>
      <c r="B123" s="8" t="s">
        <v>241</v>
      </c>
      <c r="C123" s="81" t="s">
        <v>701</v>
      </c>
      <c r="D123" s="81" t="s">
        <v>587</v>
      </c>
      <c r="E123" s="82" t="s">
        <v>710</v>
      </c>
      <c r="F123" t="s">
        <v>856</v>
      </c>
      <c r="G123" s="83"/>
      <c r="H123" s="74"/>
      <c r="I123" s="44"/>
      <c r="J123" s="44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40" customFormat="1" ht="15.75" customHeight="1">
      <c r="A124" s="8" t="str">
        <f ca="1">CELL("address",'Order form'!Q55)</f>
        <v>'[OMEGA F_order form 09_19.xlsm]Order form'!$Q$55</v>
      </c>
      <c r="B124" s="8" t="s">
        <v>241</v>
      </c>
      <c r="C124" s="81" t="s">
        <v>702</v>
      </c>
      <c r="D124" s="81" t="s">
        <v>705</v>
      </c>
      <c r="E124" s="82" t="s">
        <v>711</v>
      </c>
      <c r="F124" t="s">
        <v>857</v>
      </c>
      <c r="G124" s="83"/>
      <c r="H124" s="42"/>
      <c r="I124" s="73"/>
      <c r="J124" s="4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40" customFormat="1" ht="15.75" customHeight="1">
      <c r="A125" s="8" t="str">
        <f ca="1">CELL("address",'Order form'!Q55)</f>
        <v>'[OMEGA F_order form 09_19.xlsm]Order form'!$Q$55</v>
      </c>
      <c r="B125" s="8" t="s">
        <v>241</v>
      </c>
      <c r="C125" s="81" t="s">
        <v>703</v>
      </c>
      <c r="D125" s="81" t="s">
        <v>706</v>
      </c>
      <c r="E125" s="82" t="s">
        <v>712</v>
      </c>
      <c r="F125" t="s">
        <v>858</v>
      </c>
      <c r="G125" s="83"/>
      <c r="H125" s="73"/>
      <c r="I125" s="73"/>
      <c r="J125" s="44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40" customFormat="1" ht="15.75" customHeight="1">
      <c r="A126" s="8" t="str">
        <f ca="1">CELL("address",'Order form'!Q55)</f>
        <v>'[OMEGA F_order form 09_19.xlsm]Order form'!$Q$55</v>
      </c>
      <c r="B126" s="8" t="s">
        <v>241</v>
      </c>
      <c r="C126" s="81" t="s">
        <v>704</v>
      </c>
      <c r="D126" s="81" t="s">
        <v>707</v>
      </c>
      <c r="E126" s="82" t="s">
        <v>713</v>
      </c>
      <c r="F126" t="s">
        <v>859</v>
      </c>
      <c r="G126" s="83"/>
      <c r="H126" s="73"/>
      <c r="I126" s="73"/>
      <c r="J126" s="44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5.75" customHeight="1">
      <c r="A127" s="8" t="str">
        <f ca="1">CELL("address",'Order form'!Q55)</f>
        <v>'[OMEGA F_order form 09_19.xlsm]Order form'!$Q$55</v>
      </c>
      <c r="B127" s="8" t="s">
        <v>241</v>
      </c>
      <c r="C127" s="81" t="s">
        <v>716</v>
      </c>
      <c r="D127" s="81" t="s">
        <v>708</v>
      </c>
      <c r="E127" s="82" t="s">
        <v>714</v>
      </c>
      <c r="F127" t="s">
        <v>860</v>
      </c>
      <c r="G127" s="83"/>
      <c r="H127" s="42"/>
      <c r="I127" s="44"/>
      <c r="J127" s="44"/>
    </row>
    <row r="128" spans="1:36" ht="15.75" customHeight="1">
      <c r="A128" s="8" t="str">
        <f ca="1">CELL("address",'Order form'!Q55)</f>
        <v>'[OMEGA F_order form 09_19.xlsm]Order form'!$Q$55</v>
      </c>
      <c r="B128" s="8" t="s">
        <v>241</v>
      </c>
      <c r="C128" s="81" t="s">
        <v>717</v>
      </c>
      <c r="D128" s="81" t="s">
        <v>709</v>
      </c>
      <c r="E128" s="82" t="s">
        <v>715</v>
      </c>
      <c r="F128" t="s">
        <v>861</v>
      </c>
      <c r="G128" s="83"/>
      <c r="H128" s="42"/>
      <c r="I128" s="44"/>
      <c r="J128" s="44"/>
    </row>
    <row r="129" spans="1:9" ht="15.75" customHeight="1">
      <c r="A129" s="8" t="str">
        <f ca="1">CELL("address",'Order form'!Q56)</f>
        <v>'[OMEGA F_order form 09_19.xlsm]Order form'!$Q$56</v>
      </c>
      <c r="B129" s="8" t="s">
        <v>241</v>
      </c>
      <c r="C129" s="77" t="s">
        <v>106</v>
      </c>
      <c r="D129" s="9" t="s">
        <v>207</v>
      </c>
      <c r="E129" s="9" t="s">
        <v>417</v>
      </c>
      <c r="F129" s="83" t="s">
        <v>791</v>
      </c>
      <c r="G129" s="83"/>
    </row>
    <row r="130" spans="1:9" ht="15.75" customHeight="1">
      <c r="A130" s="8" t="str">
        <f ca="1">CELL("address",'Order form'!Q56)</f>
        <v>'[OMEGA F_order form 09_19.xlsm]Order form'!$Q$56</v>
      </c>
      <c r="B130" s="8" t="s">
        <v>241</v>
      </c>
      <c r="C130" s="66" t="s">
        <v>658</v>
      </c>
      <c r="D130" s="196" t="s">
        <v>927</v>
      </c>
      <c r="E130" s="66" t="s">
        <v>659</v>
      </c>
      <c r="F130" s="83" t="s">
        <v>792</v>
      </c>
      <c r="G130" s="83"/>
      <c r="H130" s="73"/>
      <c r="I130" s="73"/>
    </row>
    <row r="131" spans="1:9" ht="15.75" customHeight="1">
      <c r="A131" s="8" t="str">
        <f ca="1">CELL("address",'Order form'!Q57)</f>
        <v>'[OMEGA F_order form 09_19.xlsm]Order form'!$Q$57</v>
      </c>
      <c r="B131" s="8" t="s">
        <v>241</v>
      </c>
      <c r="C131" s="42" t="s">
        <v>114</v>
      </c>
      <c r="D131" s="42" t="s">
        <v>202</v>
      </c>
      <c r="E131" s="44" t="s">
        <v>420</v>
      </c>
      <c r="F131" s="83" t="s">
        <v>793</v>
      </c>
      <c r="G131" s="83"/>
      <c r="H131" s="74"/>
      <c r="I131" s="44"/>
    </row>
    <row r="132" spans="1:9" ht="15.75" customHeight="1">
      <c r="A132" s="8" t="str">
        <f ca="1">CELL("address",'Order form'!Q57)</f>
        <v>'[OMEGA F_order form 09_19.xlsm]Order form'!$Q$57</v>
      </c>
      <c r="B132" s="8" t="s">
        <v>241</v>
      </c>
      <c r="C132" s="42" t="s">
        <v>58</v>
      </c>
      <c r="D132" s="42" t="s">
        <v>530</v>
      </c>
      <c r="E132" s="44" t="s">
        <v>421</v>
      </c>
      <c r="F132" s="83" t="s">
        <v>794</v>
      </c>
      <c r="G132" s="83"/>
      <c r="H132" s="75"/>
      <c r="I132" s="73"/>
    </row>
    <row r="133" spans="1:9" ht="15.75" customHeight="1">
      <c r="A133" s="8" t="str">
        <f ca="1">CELL("address",'Order form'!Q57)</f>
        <v>'[OMEGA F_order form 09_19.xlsm]Order form'!$Q$57</v>
      </c>
      <c r="B133" s="8" t="s">
        <v>241</v>
      </c>
      <c r="C133" s="42" t="s">
        <v>528</v>
      </c>
      <c r="D133" s="42" t="s">
        <v>531</v>
      </c>
      <c r="E133" s="44" t="s">
        <v>612</v>
      </c>
      <c r="F133" t="s">
        <v>862</v>
      </c>
      <c r="G133" s="83"/>
      <c r="H133" s="75"/>
      <c r="I133" s="75"/>
    </row>
    <row r="134" spans="1:9" ht="15.75" customHeight="1">
      <c r="A134" s="8" t="str">
        <f ca="1">CELL("address",'Order form'!Q57)</f>
        <v>'[OMEGA F_order form 09_19.xlsm]Order form'!$Q$57</v>
      </c>
      <c r="B134" s="8" t="s">
        <v>241</v>
      </c>
      <c r="C134" s="42" t="s">
        <v>529</v>
      </c>
      <c r="D134" s="42" t="s">
        <v>532</v>
      </c>
      <c r="E134" s="44" t="s">
        <v>613</v>
      </c>
      <c r="F134" t="s">
        <v>863</v>
      </c>
      <c r="G134" s="83"/>
      <c r="H134" s="75"/>
      <c r="I134" s="75"/>
    </row>
    <row r="135" spans="1:9" ht="15.75" customHeight="1">
      <c r="A135" s="8" t="str">
        <f ca="1">CELL("address",'Order form'!Q59)</f>
        <v>'[OMEGA F_order form 09_19.xlsm]Order form'!$Q$59</v>
      </c>
      <c r="B135" s="8" t="s">
        <v>241</v>
      </c>
      <c r="C135" s="42" t="s">
        <v>535</v>
      </c>
      <c r="D135" s="42" t="s">
        <v>536</v>
      </c>
      <c r="E135" s="9" t="s">
        <v>424</v>
      </c>
      <c r="F135" s="83" t="s">
        <v>795</v>
      </c>
      <c r="G135" s="83"/>
      <c r="H135" s="42"/>
      <c r="I135" s="75"/>
    </row>
    <row r="136" spans="1:9" ht="15.75" customHeight="1">
      <c r="A136" s="8" t="str">
        <f ca="1">CELL("address",'Order form'!Q59)</f>
        <v>'[OMEGA F_order form 09_19.xlsm]Order form'!$Q$59</v>
      </c>
      <c r="B136" s="8" t="s">
        <v>241</v>
      </c>
      <c r="C136" s="42" t="s">
        <v>533</v>
      </c>
      <c r="D136" s="42" t="s">
        <v>534</v>
      </c>
      <c r="E136" s="41" t="s">
        <v>482</v>
      </c>
      <c r="F136" s="83" t="s">
        <v>796</v>
      </c>
      <c r="G136" s="83"/>
      <c r="H136" s="42"/>
      <c r="I136" s="75"/>
    </row>
    <row r="137" spans="1:9" ht="15.75" customHeight="1">
      <c r="A137" s="8" t="str">
        <f ca="1">CELL("address",'Order form'!Q60)</f>
        <v>'[OMEGA F_order form 09_19.xlsm]Order form'!$Q$60</v>
      </c>
      <c r="B137" s="8" t="s">
        <v>241</v>
      </c>
      <c r="C137" s="100" t="s">
        <v>739</v>
      </c>
      <c r="D137" s="100" t="s">
        <v>740</v>
      </c>
      <c r="E137" s="100" t="s">
        <v>741</v>
      </c>
      <c r="F137" s="83" t="s">
        <v>785</v>
      </c>
      <c r="G137" s="83"/>
    </row>
    <row r="138" spans="1:9" ht="15.75" customHeight="1">
      <c r="A138" s="8" t="str">
        <f ca="1">CELL("address",'Order form'!Q60)</f>
        <v>'[OMEGA F_order form 09_19.xlsm]Order form'!$Q$60</v>
      </c>
      <c r="B138" s="8" t="s">
        <v>241</v>
      </c>
      <c r="C138" s="42" t="s">
        <v>123</v>
      </c>
      <c r="D138" s="42" t="s">
        <v>197</v>
      </c>
      <c r="E138" s="42" t="s">
        <v>409</v>
      </c>
      <c r="F138" s="83" t="s">
        <v>786</v>
      </c>
      <c r="G138" s="83"/>
    </row>
    <row r="139" spans="1:9" ht="15.75" customHeight="1">
      <c r="A139" s="8" t="str">
        <f ca="1">CELL("address",'Order form'!B62)</f>
        <v>'[OMEGA F_order form 09_19.xlsm]Order form'!$B$62</v>
      </c>
      <c r="B139" s="8" t="s">
        <v>213</v>
      </c>
      <c r="C139" s="42" t="s">
        <v>540</v>
      </c>
      <c r="D139" s="42" t="s">
        <v>549</v>
      </c>
      <c r="E139" s="44" t="s">
        <v>615</v>
      </c>
      <c r="F139" s="83" t="s">
        <v>797</v>
      </c>
      <c r="G139" s="83"/>
      <c r="H139" s="76"/>
    </row>
    <row r="140" spans="1:9" ht="15.75" customHeight="1">
      <c r="A140" s="8" t="str">
        <f ca="1">CELL("address",'Order form'!B63)</f>
        <v>'[OMEGA F_order form 09_19.xlsm]Order form'!$B$63</v>
      </c>
      <c r="B140" s="8" t="s">
        <v>213</v>
      </c>
      <c r="C140" s="42" t="s">
        <v>541</v>
      </c>
      <c r="D140" s="42" t="s">
        <v>545</v>
      </c>
      <c r="E140" s="44" t="s">
        <v>614</v>
      </c>
      <c r="F140" s="83" t="s">
        <v>798</v>
      </c>
      <c r="G140" s="83"/>
      <c r="H140" s="76"/>
    </row>
    <row r="141" spans="1:9" ht="15.75" customHeight="1">
      <c r="A141" s="8" t="str">
        <f ca="1">CELL("address",'Order form'!B64)</f>
        <v>'[OMEGA F_order form 09_19.xlsm]Order form'!$B$64</v>
      </c>
      <c r="B141" s="8" t="s">
        <v>213</v>
      </c>
      <c r="C141" s="42" t="s">
        <v>542</v>
      </c>
      <c r="D141" s="42" t="s">
        <v>546</v>
      </c>
      <c r="E141" s="44" t="s">
        <v>616</v>
      </c>
      <c r="F141" s="101" t="s">
        <v>864</v>
      </c>
      <c r="G141" s="83"/>
      <c r="H141" s="76"/>
    </row>
    <row r="142" spans="1:9" ht="15.75" customHeight="1">
      <c r="A142" s="8" t="str">
        <f ca="1">CELL("address",'Order form'!B65)</f>
        <v>'[OMEGA F_order form 09_19.xlsm]Order form'!$B$65</v>
      </c>
      <c r="B142" s="8" t="s">
        <v>213</v>
      </c>
      <c r="C142" s="42" t="s">
        <v>543</v>
      </c>
      <c r="D142" s="42" t="s">
        <v>547</v>
      </c>
      <c r="E142" s="9" t="s">
        <v>617</v>
      </c>
      <c r="F142" s="83" t="s">
        <v>799</v>
      </c>
      <c r="G142" s="83"/>
      <c r="H142" s="76"/>
    </row>
    <row r="143" spans="1:9" ht="15.75" customHeight="1">
      <c r="A143" s="8" t="str">
        <f ca="1">CELL("address",'Order form'!B66)</f>
        <v>'[OMEGA F_order form 09_19.xlsm]Order form'!$B$66</v>
      </c>
      <c r="B143" s="8" t="s">
        <v>213</v>
      </c>
      <c r="C143" s="42" t="s">
        <v>544</v>
      </c>
      <c r="D143" s="42" t="s">
        <v>548</v>
      </c>
      <c r="E143" s="44" t="s">
        <v>618</v>
      </c>
      <c r="F143" s="83" t="s">
        <v>800</v>
      </c>
      <c r="G143" s="83"/>
    </row>
    <row r="144" spans="1:9" ht="15.75" customHeight="1">
      <c r="A144" s="8" t="str">
        <f ca="1">CELL("address",'Order form'!Q63)</f>
        <v>'[OMEGA F_order form 09_19.xlsm]Order form'!$Q$63</v>
      </c>
      <c r="B144" s="10" t="s">
        <v>241</v>
      </c>
      <c r="C144" s="42" t="s">
        <v>122</v>
      </c>
      <c r="D144" s="9" t="s">
        <v>198</v>
      </c>
      <c r="E144" s="9" t="s">
        <v>410</v>
      </c>
      <c r="F144" s="83" t="s">
        <v>122</v>
      </c>
      <c r="G144" s="83"/>
    </row>
    <row r="145" spans="1:7" ht="15.75" customHeight="1">
      <c r="A145" s="8" t="str">
        <f ca="1">CELL("address",'Order form'!Q63)</f>
        <v>'[OMEGA F_order form 09_19.xlsm]Order form'!$Q$63</v>
      </c>
      <c r="B145" s="10" t="s">
        <v>241</v>
      </c>
      <c r="C145" s="9" t="s">
        <v>123</v>
      </c>
      <c r="D145" s="9" t="s">
        <v>197</v>
      </c>
      <c r="E145" s="9" t="s">
        <v>409</v>
      </c>
      <c r="F145" s="83" t="s">
        <v>786</v>
      </c>
      <c r="G145" s="83"/>
    </row>
    <row r="146" spans="1:7" ht="15.75" customHeight="1">
      <c r="A146" s="8" t="str">
        <f ca="1">CELL("address",'Order form'!Q64)</f>
        <v>'[OMEGA F_order form 09_19.xlsm]Order form'!$Q$64</v>
      </c>
      <c r="B146" s="10" t="s">
        <v>241</v>
      </c>
      <c r="C146" s="42" t="s">
        <v>122</v>
      </c>
      <c r="D146" s="9" t="s">
        <v>198</v>
      </c>
      <c r="E146" s="9" t="s">
        <v>410</v>
      </c>
      <c r="F146" s="83" t="s">
        <v>122</v>
      </c>
      <c r="G146" s="83"/>
    </row>
    <row r="147" spans="1:7" ht="15.75" customHeight="1">
      <c r="A147" s="8" t="str">
        <f ca="1">CELL("address",'Order form'!Q64)</f>
        <v>'[OMEGA F_order form 09_19.xlsm]Order form'!$Q$64</v>
      </c>
      <c r="B147" s="10" t="s">
        <v>241</v>
      </c>
      <c r="C147" s="9" t="s">
        <v>123</v>
      </c>
      <c r="D147" s="9" t="s">
        <v>197</v>
      </c>
      <c r="E147" s="9" t="s">
        <v>409</v>
      </c>
      <c r="F147" s="83" t="s">
        <v>786</v>
      </c>
      <c r="G147" s="83"/>
    </row>
    <row r="148" spans="1:7" ht="15.75" customHeight="1">
      <c r="A148" s="8" t="str">
        <f ca="1">CELL("address",'Order form'!Q65)</f>
        <v>'[OMEGA F_order form 09_19.xlsm]Order form'!$Q$65</v>
      </c>
      <c r="B148" s="10" t="s">
        <v>241</v>
      </c>
      <c r="C148" s="9" t="s">
        <v>122</v>
      </c>
      <c r="D148" s="9" t="s">
        <v>198</v>
      </c>
      <c r="E148" s="9" t="s">
        <v>410</v>
      </c>
      <c r="F148" s="83" t="s">
        <v>122</v>
      </c>
      <c r="G148" s="83"/>
    </row>
    <row r="149" spans="1:7" ht="15.75" customHeight="1">
      <c r="A149" s="8" t="str">
        <f ca="1">CELL("address",'Order form'!Q65)</f>
        <v>'[OMEGA F_order form 09_19.xlsm]Order form'!$Q$65</v>
      </c>
      <c r="B149" s="10" t="s">
        <v>241</v>
      </c>
      <c r="C149" s="9" t="s">
        <v>123</v>
      </c>
      <c r="D149" s="9" t="s">
        <v>197</v>
      </c>
      <c r="E149" s="9" t="s">
        <v>409</v>
      </c>
      <c r="F149" s="83" t="s">
        <v>786</v>
      </c>
      <c r="G149" s="83"/>
    </row>
    <row r="150" spans="1:7" ht="15.75" customHeight="1">
      <c r="A150" s="8" t="str">
        <f ca="1">CELL("address",'Order form'!Q66)</f>
        <v>'[OMEGA F_order form 09_19.xlsm]Order form'!$Q$66</v>
      </c>
      <c r="B150" s="10" t="s">
        <v>241</v>
      </c>
      <c r="C150" s="9" t="s">
        <v>122</v>
      </c>
      <c r="D150" s="9" t="s">
        <v>198</v>
      </c>
      <c r="E150" s="9" t="s">
        <v>410</v>
      </c>
      <c r="F150" s="83" t="s">
        <v>122</v>
      </c>
      <c r="G150" s="83"/>
    </row>
    <row r="151" spans="1:7" ht="15.75" customHeight="1">
      <c r="A151" s="8" t="str">
        <f ca="1">CELL("address",'Order form'!Q66)</f>
        <v>'[OMEGA F_order form 09_19.xlsm]Order form'!$Q$66</v>
      </c>
      <c r="B151" s="10" t="s">
        <v>241</v>
      </c>
      <c r="C151" s="9" t="s">
        <v>123</v>
      </c>
      <c r="D151" s="9" t="s">
        <v>197</v>
      </c>
      <c r="E151" s="9" t="s">
        <v>409</v>
      </c>
      <c r="F151" s="83" t="s">
        <v>786</v>
      </c>
      <c r="G151" s="83"/>
    </row>
    <row r="152" spans="1:7" ht="15.75" customHeight="1">
      <c r="A152" s="8" t="str">
        <f ca="1">CELL("address",'Order form'!B68)</f>
        <v>'[OMEGA F_order form 09_19.xlsm]Order form'!$B$68</v>
      </c>
      <c r="B152" s="8" t="s">
        <v>213</v>
      </c>
      <c r="C152" s="42" t="s">
        <v>537</v>
      </c>
      <c r="D152" s="42" t="s">
        <v>550</v>
      </c>
      <c r="E152" s="11" t="s">
        <v>461</v>
      </c>
      <c r="F152" t="s">
        <v>865</v>
      </c>
      <c r="G152" s="83"/>
    </row>
    <row r="153" spans="1:7" ht="15.75" customHeight="1">
      <c r="A153" s="8" t="str">
        <f ca="1">CELL("address",'Order form'!B69)</f>
        <v>'[OMEGA F_order form 09_19.xlsm]Order form'!$B$69</v>
      </c>
      <c r="B153" s="8" t="s">
        <v>213</v>
      </c>
      <c r="C153" s="9" t="s">
        <v>88</v>
      </c>
      <c r="D153" s="196" t="s">
        <v>921</v>
      </c>
      <c r="E153" s="11" t="s">
        <v>477</v>
      </c>
      <c r="F153" t="s">
        <v>866</v>
      </c>
      <c r="G153" s="83"/>
    </row>
    <row r="154" spans="1:7" s="205" customFormat="1" ht="15.75" customHeight="1">
      <c r="A154" s="8" t="str">
        <f ca="1">CELL("address",'Order form'!B70)</f>
        <v>'[OMEGA F_order form 09_19.xlsm]Order form'!$B$70</v>
      </c>
      <c r="B154" s="8" t="s">
        <v>213</v>
      </c>
      <c r="C154" s="203" t="s">
        <v>983</v>
      </c>
      <c r="D154" s="203" t="s">
        <v>984</v>
      </c>
      <c r="E154" s="11" t="s">
        <v>982</v>
      </c>
      <c r="F154" s="205" t="s">
        <v>981</v>
      </c>
      <c r="G154" s="83"/>
    </row>
    <row r="155" spans="1:7" ht="15.75" customHeight="1">
      <c r="A155" s="8" t="str">
        <f ca="1">CELL("address",'Order form'!B71)</f>
        <v>'[OMEGA F_order form 09_19.xlsm]Order form'!$B$71</v>
      </c>
      <c r="B155" s="8" t="s">
        <v>213</v>
      </c>
      <c r="C155" s="65" t="s">
        <v>654</v>
      </c>
      <c r="D155" s="196" t="s">
        <v>922</v>
      </c>
      <c r="E155" s="44" t="s">
        <v>619</v>
      </c>
      <c r="F155" t="s">
        <v>801</v>
      </c>
      <c r="G155" s="83"/>
    </row>
    <row r="156" spans="1:7" ht="15.75" customHeight="1">
      <c r="A156" s="8" t="str">
        <f ca="1">CELL("address",'Order form'!B72)</f>
        <v>'[OMEGA F_order form 09_19.xlsm]Order form'!$B$72</v>
      </c>
      <c r="B156" s="8" t="s">
        <v>213</v>
      </c>
      <c r="C156" s="42" t="s">
        <v>538</v>
      </c>
      <c r="D156" s="44" t="s">
        <v>620</v>
      </c>
      <c r="E156" s="44" t="s">
        <v>556</v>
      </c>
      <c r="F156" s="101" t="s">
        <v>867</v>
      </c>
      <c r="G156" s="83"/>
    </row>
    <row r="157" spans="1:7" s="205" customFormat="1" ht="15.75" customHeight="1">
      <c r="A157" s="8" t="str">
        <f ca="1">CELL("address",'Order form'!B73)</f>
        <v>'[OMEGA F_order form 09_19.xlsm]Order form'!$B$73</v>
      </c>
      <c r="B157" s="8" t="s">
        <v>213</v>
      </c>
      <c r="C157" s="42" t="s">
        <v>985</v>
      </c>
      <c r="D157" s="44" t="s">
        <v>987</v>
      </c>
      <c r="E157" s="203" t="s">
        <v>989</v>
      </c>
      <c r="F157" s="101" t="s">
        <v>991</v>
      </c>
      <c r="G157" s="83"/>
    </row>
    <row r="158" spans="1:7" s="205" customFormat="1" ht="15.75" customHeight="1">
      <c r="A158" s="8" t="str">
        <f ca="1">CELL("address",'Order form'!B74)</f>
        <v>'[OMEGA F_order form 09_19.xlsm]Order form'!$B$74</v>
      </c>
      <c r="B158" s="8" t="s">
        <v>213</v>
      </c>
      <c r="C158" s="249" t="s">
        <v>1065</v>
      </c>
      <c r="D158" s="249" t="s">
        <v>1066</v>
      </c>
      <c r="E158" s="249" t="s">
        <v>1067</v>
      </c>
      <c r="F158" s="101" t="s">
        <v>992</v>
      </c>
      <c r="G158" s="83"/>
    </row>
    <row r="159" spans="1:7" s="205" customFormat="1" ht="15.75" customHeight="1">
      <c r="A159" s="8" t="str">
        <f ca="1">CELL("address",'Order form'!B75)</f>
        <v>'[OMEGA F_order form 09_19.xlsm]Order form'!$B$75</v>
      </c>
      <c r="B159" s="8" t="s">
        <v>213</v>
      </c>
      <c r="C159" s="42" t="s">
        <v>986</v>
      </c>
      <c r="D159" s="44" t="s">
        <v>988</v>
      </c>
      <c r="E159" s="44" t="s">
        <v>990</v>
      </c>
      <c r="F159" s="101" t="s">
        <v>993</v>
      </c>
      <c r="G159" s="83"/>
    </row>
    <row r="160" spans="1:7" ht="15.75" customHeight="1">
      <c r="A160" s="8" t="str">
        <f ca="1">CELL("address",'Order form'!B79)</f>
        <v>'[OMEGA F_order form 09_19.xlsm]Order form'!$B$79</v>
      </c>
      <c r="B160" s="8" t="s">
        <v>213</v>
      </c>
      <c r="C160" s="42" t="s">
        <v>539</v>
      </c>
      <c r="D160" s="9" t="s">
        <v>59</v>
      </c>
      <c r="E160" s="11" t="s">
        <v>462</v>
      </c>
      <c r="F160" s="83" t="s">
        <v>802</v>
      </c>
      <c r="G160" s="83"/>
    </row>
    <row r="161" spans="1:7" ht="15.75" customHeight="1">
      <c r="A161" s="8" t="str">
        <f ca="1">CELL("address",'Order form'!B80)</f>
        <v>'[OMEGA F_order form 09_19.xlsm]Order form'!$B$80</v>
      </c>
      <c r="B161" s="8" t="s">
        <v>213</v>
      </c>
      <c r="C161" s="42" t="s">
        <v>15</v>
      </c>
      <c r="D161" s="9" t="s">
        <v>15</v>
      </c>
      <c r="E161" s="11" t="s">
        <v>463</v>
      </c>
      <c r="F161" s="83" t="s">
        <v>803</v>
      </c>
      <c r="G161" s="83"/>
    </row>
    <row r="162" spans="1:7" s="205" customFormat="1" ht="15.75" customHeight="1">
      <c r="A162" s="8" t="str">
        <f ca="1">CELL("address",'Order form'!B81)</f>
        <v>'[OMEGA F_order form 09_19.xlsm]Order form'!$B$81</v>
      </c>
      <c r="B162" s="8" t="s">
        <v>213</v>
      </c>
      <c r="C162" s="245" t="s">
        <v>1055</v>
      </c>
      <c r="D162" s="245" t="s">
        <v>1057</v>
      </c>
      <c r="E162" s="11" t="s">
        <v>1059</v>
      </c>
      <c r="F162" s="246" t="s">
        <v>1058</v>
      </c>
      <c r="G162" s="83"/>
    </row>
    <row r="163" spans="1:7" ht="15.75" customHeight="1">
      <c r="A163" s="8" t="str">
        <f ca="1">CELL("address",'Order form'!B82)</f>
        <v>'[OMEGA F_order form 09_19.xlsm]Order form'!$B$82</v>
      </c>
      <c r="B163" s="8" t="s">
        <v>213</v>
      </c>
      <c r="C163" s="42" t="s">
        <v>25</v>
      </c>
      <c r="D163" s="9" t="s">
        <v>169</v>
      </c>
      <c r="E163" s="11" t="s">
        <v>464</v>
      </c>
      <c r="F163" s="83" t="s">
        <v>804</v>
      </c>
      <c r="G163" s="83"/>
    </row>
    <row r="164" spans="1:7" s="205" customFormat="1" ht="15.75" customHeight="1">
      <c r="A164" s="8" t="str">
        <f ca="1">CELL("address",'Order form'!B85)</f>
        <v>'[OMEGA F_order form 09_19.xlsm]Order form'!$B$85</v>
      </c>
      <c r="B164" s="8" t="s">
        <v>213</v>
      </c>
      <c r="C164" s="42" t="s">
        <v>994</v>
      </c>
      <c r="D164" s="9" t="s">
        <v>996</v>
      </c>
      <c r="E164" s="11" t="s">
        <v>999</v>
      </c>
      <c r="F164" s="83" t="s">
        <v>1001</v>
      </c>
      <c r="G164" s="83"/>
    </row>
    <row r="165" spans="1:7" s="205" customFormat="1" ht="15.75" customHeight="1">
      <c r="A165" s="8" t="str">
        <f ca="1">CELL("address",'Order form'!B86)</f>
        <v>'[OMEGA F_order form 09_19.xlsm]Order form'!$B$86</v>
      </c>
      <c r="B165" s="8" t="s">
        <v>213</v>
      </c>
      <c r="C165" s="42" t="s">
        <v>995</v>
      </c>
      <c r="D165" s="203" t="s">
        <v>998</v>
      </c>
      <c r="E165" s="11" t="s">
        <v>1000</v>
      </c>
      <c r="F165" s="83" t="s">
        <v>1002</v>
      </c>
      <c r="G165" s="83"/>
    </row>
    <row r="166" spans="1:7" s="205" customFormat="1" ht="15.75" customHeight="1">
      <c r="A166" s="8" t="str">
        <f ca="1">CELL("address",'Order form'!B87)</f>
        <v>'[OMEGA F_order form 09_19.xlsm]Order form'!$B$87</v>
      </c>
      <c r="B166" s="8" t="s">
        <v>213</v>
      </c>
      <c r="C166" s="42" t="s">
        <v>170</v>
      </c>
      <c r="D166" s="9" t="s">
        <v>997</v>
      </c>
      <c r="E166" s="11" t="s">
        <v>1003</v>
      </c>
      <c r="F166" s="210" t="s">
        <v>1004</v>
      </c>
      <c r="G166" s="83"/>
    </row>
    <row r="167" spans="1:7" ht="15.75" customHeight="1">
      <c r="A167" s="8" t="str">
        <f ca="1">CELL("address",'Order form'!Q69)</f>
        <v>'[OMEGA F_order form 09_19.xlsm]Order form'!$Q$69</v>
      </c>
      <c r="B167" s="10" t="s">
        <v>241</v>
      </c>
      <c r="C167" s="42" t="s">
        <v>551</v>
      </c>
      <c r="D167" s="42" t="s">
        <v>552</v>
      </c>
      <c r="E167" s="9" t="s">
        <v>409</v>
      </c>
      <c r="F167" s="83" t="s">
        <v>805</v>
      </c>
      <c r="G167" s="83"/>
    </row>
    <row r="168" spans="1:7" ht="15.75" customHeight="1">
      <c r="A168" s="8" t="str">
        <f ca="1">CELL("address",'Order form'!Q69)</f>
        <v>'[OMEGA F_order form 09_19.xlsm]Order form'!$Q$69</v>
      </c>
      <c r="B168" s="10" t="s">
        <v>241</v>
      </c>
      <c r="C168" s="42" t="s">
        <v>122</v>
      </c>
      <c r="D168" s="9" t="s">
        <v>198</v>
      </c>
      <c r="E168" s="9" t="s">
        <v>410</v>
      </c>
      <c r="F168" s="83" t="s">
        <v>122</v>
      </c>
      <c r="G168" s="83"/>
    </row>
    <row r="169" spans="1:7" s="205" customFormat="1" ht="15.75" customHeight="1">
      <c r="A169" s="8" t="str">
        <f ca="1">CELL("address",'Order form'!Q70)</f>
        <v>'[OMEGA F_order form 09_19.xlsm]Order form'!$Q$70</v>
      </c>
      <c r="B169" s="10" t="s">
        <v>241</v>
      </c>
      <c r="C169" s="42" t="s">
        <v>122</v>
      </c>
      <c r="D169" s="9" t="s">
        <v>198</v>
      </c>
      <c r="E169" s="9" t="s">
        <v>410</v>
      </c>
      <c r="F169" s="83" t="s">
        <v>122</v>
      </c>
      <c r="G169" s="83"/>
    </row>
    <row r="170" spans="1:7" s="205" customFormat="1" ht="15.75" customHeight="1">
      <c r="A170" s="8" t="str">
        <f ca="1">CELL("address",'Order form'!Q1)</f>
        <v>'[OMEGA F_order form 09_19.xlsm]Order form'!$Q$1</v>
      </c>
      <c r="B170" s="10" t="s">
        <v>241</v>
      </c>
      <c r="C170" s="9" t="s">
        <v>123</v>
      </c>
      <c r="D170" s="9" t="s">
        <v>197</v>
      </c>
      <c r="E170" s="9" t="s">
        <v>409</v>
      </c>
      <c r="F170" s="83" t="s">
        <v>786</v>
      </c>
      <c r="G170" s="83"/>
    </row>
    <row r="171" spans="1:7" ht="15.75" customHeight="1">
      <c r="A171" s="8" t="str">
        <f ca="1">CELL("address",'Order form'!Q71)</f>
        <v>'[OMEGA F_order form 09_19.xlsm]Order form'!$Q$71</v>
      </c>
      <c r="B171" s="10" t="s">
        <v>241</v>
      </c>
      <c r="C171" s="100" t="s">
        <v>739</v>
      </c>
      <c r="D171" s="100" t="s">
        <v>740</v>
      </c>
      <c r="E171" s="100" t="s">
        <v>741</v>
      </c>
      <c r="F171" s="83" t="s">
        <v>785</v>
      </c>
      <c r="G171" s="83"/>
    </row>
    <row r="172" spans="1:7" ht="15.75" customHeight="1">
      <c r="A172" s="8" t="str">
        <f ca="1">CELL("address",'Order form'!Q71)</f>
        <v>'[OMEGA F_order form 09_19.xlsm]Order form'!$Q$71</v>
      </c>
      <c r="B172" s="10" t="s">
        <v>241</v>
      </c>
      <c r="C172" s="42" t="s">
        <v>123</v>
      </c>
      <c r="D172" s="42" t="s">
        <v>197</v>
      </c>
      <c r="E172" s="42" t="s">
        <v>409</v>
      </c>
      <c r="F172" s="83" t="s">
        <v>786</v>
      </c>
      <c r="G172" s="83"/>
    </row>
    <row r="173" spans="1:7" ht="15.75" customHeight="1">
      <c r="A173" s="8" t="str">
        <f ca="1">CELL("address",'Order form'!Q72)</f>
        <v>'[OMEGA F_order form 09_19.xlsm]Order form'!$Q$72</v>
      </c>
      <c r="B173" s="10" t="s">
        <v>241</v>
      </c>
      <c r="C173" s="79" t="s">
        <v>685</v>
      </c>
      <c r="D173" s="79" t="s">
        <v>685</v>
      </c>
      <c r="E173" s="79" t="s">
        <v>685</v>
      </c>
      <c r="F173" s="83" t="s">
        <v>806</v>
      </c>
      <c r="G173" s="83"/>
    </row>
    <row r="174" spans="1:7" ht="15.75" customHeight="1">
      <c r="A174" s="8" t="str">
        <f ca="1">CELL("address",'Order form'!Q72)</f>
        <v>'[OMEGA F_order form 09_19.xlsm]Order form'!$Q$72</v>
      </c>
      <c r="B174" s="10" t="s">
        <v>241</v>
      </c>
      <c r="C174" s="79" t="s">
        <v>686</v>
      </c>
      <c r="D174" s="251" t="s">
        <v>1073</v>
      </c>
      <c r="E174" s="79" t="s">
        <v>686</v>
      </c>
      <c r="F174" s="83" t="s">
        <v>807</v>
      </c>
      <c r="G174" s="83"/>
    </row>
    <row r="175" spans="1:7" ht="15.75" customHeight="1">
      <c r="A175" s="8" t="str">
        <f ca="1">CELL("address",'Order form'!Q72)</f>
        <v>'[OMEGA F_order form 09_19.xlsm]Order form'!$Q$72</v>
      </c>
      <c r="B175" s="10" t="s">
        <v>241</v>
      </c>
      <c r="C175" s="79" t="s">
        <v>687</v>
      </c>
      <c r="D175" s="251" t="s">
        <v>1074</v>
      </c>
      <c r="E175" s="79" t="s">
        <v>687</v>
      </c>
      <c r="F175" s="83" t="s">
        <v>808</v>
      </c>
      <c r="G175" s="83"/>
    </row>
    <row r="176" spans="1:7" ht="15.75" customHeight="1">
      <c r="A176" s="8" t="str">
        <f ca="1">CELL("address",'Order form'!Q72)</f>
        <v>'[OMEGA F_order form 09_19.xlsm]Order form'!$Q$72</v>
      </c>
      <c r="B176" s="10" t="s">
        <v>241</v>
      </c>
      <c r="C176" s="79" t="s">
        <v>688</v>
      </c>
      <c r="D176" s="251" t="s">
        <v>1075</v>
      </c>
      <c r="E176" s="79" t="s">
        <v>688</v>
      </c>
      <c r="F176" s="83" t="s">
        <v>809</v>
      </c>
      <c r="G176" s="83"/>
    </row>
    <row r="177" spans="1:7" ht="15.75" customHeight="1">
      <c r="A177" s="8" t="str">
        <f ca="1">CELL("address",'Order form'!Q72)</f>
        <v>'[OMEGA F_order form 09_19.xlsm]Order form'!$Q$72</v>
      </c>
      <c r="B177" s="10" t="s">
        <v>241</v>
      </c>
      <c r="C177" s="79" t="s">
        <v>689</v>
      </c>
      <c r="D177" s="252" t="s">
        <v>1077</v>
      </c>
      <c r="E177" s="79" t="s">
        <v>689</v>
      </c>
      <c r="F177" t="s">
        <v>868</v>
      </c>
      <c r="G177" s="83"/>
    </row>
    <row r="178" spans="1:7" ht="15.75" customHeight="1">
      <c r="A178" s="8" t="str">
        <f ca="1">CELL("address",'Order form'!Q72)</f>
        <v>'[OMEGA F_order form 09_19.xlsm]Order form'!$Q$72</v>
      </c>
      <c r="B178" s="10" t="s">
        <v>241</v>
      </c>
      <c r="C178" s="79" t="s">
        <v>690</v>
      </c>
      <c r="D178" s="251" t="s">
        <v>1076</v>
      </c>
      <c r="E178" s="79" t="s">
        <v>690</v>
      </c>
      <c r="F178" s="83" t="s">
        <v>810</v>
      </c>
      <c r="G178" s="83"/>
    </row>
    <row r="179" spans="1:7" s="205" customFormat="1" ht="15.75" customHeight="1">
      <c r="A179" s="8" t="str">
        <f ca="1">CELL("address",'Order form'!Q73)</f>
        <v>'[OMEGA F_order form 09_19.xlsm]Order form'!$Q$73</v>
      </c>
      <c r="B179" s="10" t="s">
        <v>241</v>
      </c>
      <c r="C179" s="42" t="s">
        <v>122</v>
      </c>
      <c r="D179" s="9" t="s">
        <v>198</v>
      </c>
      <c r="E179" s="9" t="s">
        <v>410</v>
      </c>
      <c r="F179" s="83" t="s">
        <v>122</v>
      </c>
      <c r="G179" s="83"/>
    </row>
    <row r="180" spans="1:7" s="205" customFormat="1" ht="15.75" customHeight="1">
      <c r="A180" s="8" t="str">
        <f ca="1">CELL("address",'Order form'!Q73)</f>
        <v>'[OMEGA F_order form 09_19.xlsm]Order form'!$Q$73</v>
      </c>
      <c r="B180" s="10" t="s">
        <v>241</v>
      </c>
      <c r="C180" s="9" t="s">
        <v>123</v>
      </c>
      <c r="D180" s="9" t="s">
        <v>197</v>
      </c>
      <c r="E180" s="9" t="s">
        <v>409</v>
      </c>
      <c r="F180" s="83" t="s">
        <v>786</v>
      </c>
      <c r="G180" s="83"/>
    </row>
    <row r="181" spans="1:7" s="205" customFormat="1" ht="15.75" customHeight="1">
      <c r="A181" s="8" t="str">
        <f ca="1">CELL("address",'Order form'!Q74)</f>
        <v>'[OMEGA F_order form 09_19.xlsm]Order form'!$Q$74</v>
      </c>
      <c r="B181" s="10" t="s">
        <v>241</v>
      </c>
      <c r="C181" s="42" t="s">
        <v>122</v>
      </c>
      <c r="D181" s="9" t="s">
        <v>198</v>
      </c>
      <c r="E181" s="9" t="s">
        <v>410</v>
      </c>
      <c r="F181" s="83" t="s">
        <v>122</v>
      </c>
      <c r="G181" s="83"/>
    </row>
    <row r="182" spans="1:7" s="205" customFormat="1" ht="15.75" customHeight="1">
      <c r="A182" s="8" t="str">
        <f ca="1">CELL("address",'Order form'!Q74)</f>
        <v>'[OMEGA F_order form 09_19.xlsm]Order form'!$Q$74</v>
      </c>
      <c r="B182" s="10" t="s">
        <v>241</v>
      </c>
      <c r="C182" s="9" t="s">
        <v>123</v>
      </c>
      <c r="D182" s="9" t="s">
        <v>197</v>
      </c>
      <c r="E182" s="9" t="s">
        <v>409</v>
      </c>
      <c r="F182" s="83" t="s">
        <v>786</v>
      </c>
      <c r="G182" s="83"/>
    </row>
    <row r="183" spans="1:7" s="205" customFormat="1" ht="15.75" customHeight="1">
      <c r="A183" s="8" t="str">
        <f ca="1">CELL("address",'Order form'!Q75)</f>
        <v>'[OMEGA F_order form 09_19.xlsm]Order form'!$Q$75</v>
      </c>
      <c r="B183" s="10" t="s">
        <v>241</v>
      </c>
      <c r="C183" s="9" t="s">
        <v>122</v>
      </c>
      <c r="D183" s="9" t="s">
        <v>198</v>
      </c>
      <c r="E183" s="9" t="s">
        <v>410</v>
      </c>
      <c r="F183" s="83" t="s">
        <v>122</v>
      </c>
      <c r="G183" s="83"/>
    </row>
    <row r="184" spans="1:7" s="205" customFormat="1" ht="15.75" customHeight="1">
      <c r="A184" s="8" t="str">
        <f ca="1">CELL("address",'Order form'!Q75)</f>
        <v>'[OMEGA F_order form 09_19.xlsm]Order form'!$Q$75</v>
      </c>
      <c r="B184" s="10" t="s">
        <v>241</v>
      </c>
      <c r="C184" s="9" t="s">
        <v>123</v>
      </c>
      <c r="D184" s="9" t="s">
        <v>197</v>
      </c>
      <c r="E184" s="9" t="s">
        <v>409</v>
      </c>
      <c r="F184" s="83" t="s">
        <v>786</v>
      </c>
      <c r="G184" s="83"/>
    </row>
    <row r="185" spans="1:7" ht="15.75" customHeight="1">
      <c r="A185" s="8" t="str">
        <f ca="1">CELL("address",'Order form'!Q80)</f>
        <v>'[OMEGA F_order form 09_19.xlsm]Order form'!$Q$80</v>
      </c>
      <c r="B185" s="10" t="s">
        <v>241</v>
      </c>
      <c r="C185" s="80" t="s">
        <v>685</v>
      </c>
      <c r="D185" s="80" t="s">
        <v>685</v>
      </c>
      <c r="E185" s="80" t="s">
        <v>685</v>
      </c>
      <c r="F185" s="83" t="s">
        <v>806</v>
      </c>
      <c r="G185" s="83"/>
    </row>
    <row r="186" spans="1:7" ht="15.75" customHeight="1">
      <c r="A186" s="8" t="str">
        <f ca="1">CELL("address",'Order form'!Q80)</f>
        <v>'[OMEGA F_order form 09_19.xlsm]Order form'!$Q$80</v>
      </c>
      <c r="B186" s="10" t="s">
        <v>241</v>
      </c>
      <c r="C186" s="80" t="s">
        <v>691</v>
      </c>
      <c r="D186" s="80" t="s">
        <v>691</v>
      </c>
      <c r="E186" s="80" t="s">
        <v>691</v>
      </c>
      <c r="F186" s="83" t="s">
        <v>691</v>
      </c>
      <c r="G186" s="83"/>
    </row>
    <row r="187" spans="1:7" ht="15.75" customHeight="1">
      <c r="A187" s="8" t="str">
        <f ca="1">CELL("address",'Order form'!Q80)</f>
        <v>'[OMEGA F_order form 09_19.xlsm]Order form'!$Q$80</v>
      </c>
      <c r="B187" s="10" t="s">
        <v>241</v>
      </c>
      <c r="C187" s="80" t="s">
        <v>695</v>
      </c>
      <c r="D187" s="80" t="s">
        <v>695</v>
      </c>
      <c r="E187" s="80" t="s">
        <v>695</v>
      </c>
      <c r="F187" s="83" t="s">
        <v>695</v>
      </c>
      <c r="G187" s="83"/>
    </row>
    <row r="188" spans="1:7" ht="15.75" customHeight="1">
      <c r="A188" s="8" t="str">
        <f ca="1">CELL("address",'Order form'!Q80)</f>
        <v>'[OMEGA F_order form 09_19.xlsm]Order form'!$Q$80</v>
      </c>
      <c r="B188" s="10" t="s">
        <v>241</v>
      </c>
      <c r="C188" s="80" t="s">
        <v>692</v>
      </c>
      <c r="D188" s="80" t="s">
        <v>692</v>
      </c>
      <c r="E188" s="80" t="s">
        <v>692</v>
      </c>
      <c r="F188" s="83" t="s">
        <v>692</v>
      </c>
      <c r="G188" s="83"/>
    </row>
    <row r="189" spans="1:7" ht="15.75" customHeight="1">
      <c r="A189" s="8" t="str">
        <f ca="1">CELL("address",'Order form'!Q80)</f>
        <v>'[OMEGA F_order form 09_19.xlsm]Order form'!$Q$80</v>
      </c>
      <c r="B189" s="10" t="s">
        <v>241</v>
      </c>
      <c r="C189" s="80" t="s">
        <v>693</v>
      </c>
      <c r="D189" s="80" t="s">
        <v>693</v>
      </c>
      <c r="E189" s="80" t="s">
        <v>693</v>
      </c>
      <c r="F189" s="83" t="s">
        <v>693</v>
      </c>
      <c r="G189" s="83"/>
    </row>
    <row r="190" spans="1:7" ht="15.75" customHeight="1">
      <c r="A190" s="8" t="str">
        <f ca="1">CELL("address",'Order form'!Q80)</f>
        <v>'[OMEGA F_order form 09_19.xlsm]Order form'!$Q$80</v>
      </c>
      <c r="B190" s="10" t="s">
        <v>241</v>
      </c>
      <c r="C190" s="80" t="s">
        <v>694</v>
      </c>
      <c r="D190" s="80" t="s">
        <v>694</v>
      </c>
      <c r="E190" s="80" t="s">
        <v>694</v>
      </c>
      <c r="F190" s="83" t="s">
        <v>694</v>
      </c>
      <c r="G190" s="83"/>
    </row>
    <row r="191" spans="1:7" ht="15.75" customHeight="1">
      <c r="A191" s="8" t="str">
        <f ca="1">CELL("address",'Order form'!Q80)</f>
        <v>'[OMEGA F_order form 09_19.xlsm]Order form'!$Q$80</v>
      </c>
      <c r="B191" s="10" t="s">
        <v>241</v>
      </c>
      <c r="C191" s="80" t="s">
        <v>696</v>
      </c>
      <c r="D191" s="80" t="s">
        <v>696</v>
      </c>
      <c r="E191" s="80" t="s">
        <v>696</v>
      </c>
      <c r="F191" s="83" t="s">
        <v>696</v>
      </c>
      <c r="G191" s="83"/>
    </row>
    <row r="192" spans="1:7" ht="15.75" customHeight="1">
      <c r="A192" s="8" t="str">
        <f ca="1">CELL("address",'Order form'!Q80)</f>
        <v>'[OMEGA F_order form 09_19.xlsm]Order form'!$Q$80</v>
      </c>
      <c r="B192" s="10" t="s">
        <v>241</v>
      </c>
      <c r="C192" s="80" t="s">
        <v>697</v>
      </c>
      <c r="D192" s="80" t="s">
        <v>697</v>
      </c>
      <c r="E192" s="80" t="s">
        <v>697</v>
      </c>
      <c r="F192" s="83" t="s">
        <v>697</v>
      </c>
      <c r="G192" s="83"/>
    </row>
    <row r="193" spans="1:7" ht="15.75" customHeight="1">
      <c r="A193" s="8" t="str">
        <f ca="1">CELL("address",'Order form'!Q82)</f>
        <v>'[OMEGA F_order form 09_19.xlsm]Order form'!$Q$82</v>
      </c>
      <c r="B193" s="10" t="s">
        <v>241</v>
      </c>
      <c r="C193" s="80" t="s">
        <v>685</v>
      </c>
      <c r="D193" s="80" t="s">
        <v>685</v>
      </c>
      <c r="E193" s="80" t="s">
        <v>685</v>
      </c>
      <c r="F193" s="83" t="s">
        <v>806</v>
      </c>
      <c r="G193" s="83"/>
    </row>
    <row r="194" spans="1:7" ht="15.75" customHeight="1">
      <c r="A194" s="8" t="str">
        <f ca="1">CELL("address",'Order form'!Q82)</f>
        <v>'[OMEGA F_order form 09_19.xlsm]Order form'!$Q$82</v>
      </c>
      <c r="B194" s="10" t="s">
        <v>241</v>
      </c>
      <c r="C194" s="80" t="s">
        <v>553</v>
      </c>
      <c r="D194" s="80" t="s">
        <v>553</v>
      </c>
      <c r="E194" s="80" t="s">
        <v>553</v>
      </c>
      <c r="F194" s="83" t="s">
        <v>553</v>
      </c>
      <c r="G194" s="83"/>
    </row>
    <row r="195" spans="1:7" ht="15.75" customHeight="1">
      <c r="A195" s="8" t="str">
        <f ca="1">CELL("address",'Order form'!Q82)</f>
        <v>'[OMEGA F_order form 09_19.xlsm]Order form'!$Q$82</v>
      </c>
      <c r="B195" s="10" t="s">
        <v>241</v>
      </c>
      <c r="C195" s="80" t="s">
        <v>698</v>
      </c>
      <c r="D195" s="80" t="s">
        <v>698</v>
      </c>
      <c r="E195" s="80" t="s">
        <v>698</v>
      </c>
      <c r="F195" s="83" t="s">
        <v>698</v>
      </c>
      <c r="G195" s="83"/>
    </row>
    <row r="196" spans="1:7" ht="15.75" customHeight="1">
      <c r="A196" s="8" t="str">
        <f ca="1">CELL("address",'Order form'!Q82)</f>
        <v>'[OMEGA F_order form 09_19.xlsm]Order form'!$Q$82</v>
      </c>
      <c r="B196" s="10" t="s">
        <v>241</v>
      </c>
      <c r="C196" s="80" t="s">
        <v>699</v>
      </c>
      <c r="D196" s="80" t="s">
        <v>699</v>
      </c>
      <c r="E196" s="80" t="s">
        <v>699</v>
      </c>
      <c r="F196" s="83" t="s">
        <v>811</v>
      </c>
      <c r="G196" s="83"/>
    </row>
    <row r="197" spans="1:7" ht="15.75" customHeight="1">
      <c r="A197" s="8" t="str">
        <f ca="1">CELL("address",'Order form'!Q82)</f>
        <v>'[OMEGA F_order form 09_19.xlsm]Order form'!$Q$82</v>
      </c>
      <c r="B197" s="10" t="s">
        <v>241</v>
      </c>
      <c r="C197" s="80" t="s">
        <v>700</v>
      </c>
      <c r="D197" s="80" t="s">
        <v>700</v>
      </c>
      <c r="E197" s="80" t="s">
        <v>700</v>
      </c>
      <c r="F197" s="83" t="s">
        <v>812</v>
      </c>
      <c r="G197" s="83"/>
    </row>
    <row r="198" spans="1:7" s="205" customFormat="1" ht="15.75" customHeight="1">
      <c r="A198" s="8" t="str">
        <f ca="1">CELL("address",'Order form'!Q85)</f>
        <v>'[OMEGA F_order form 09_19.xlsm]Order form'!$Q$85</v>
      </c>
      <c r="B198" s="10" t="s">
        <v>241</v>
      </c>
      <c r="C198" s="42" t="s">
        <v>122</v>
      </c>
      <c r="D198" s="9" t="s">
        <v>198</v>
      </c>
      <c r="E198" s="9" t="s">
        <v>410</v>
      </c>
      <c r="F198" s="83" t="s">
        <v>122</v>
      </c>
      <c r="G198" s="83"/>
    </row>
    <row r="199" spans="1:7" s="205" customFormat="1" ht="15.75" customHeight="1">
      <c r="A199" s="8" t="str">
        <f ca="1">CELL("address",'Order form'!Q85)</f>
        <v>'[OMEGA F_order form 09_19.xlsm]Order form'!$Q$85</v>
      </c>
      <c r="B199" s="10" t="s">
        <v>241</v>
      </c>
      <c r="C199" s="9" t="s">
        <v>123</v>
      </c>
      <c r="D199" s="9" t="s">
        <v>197</v>
      </c>
      <c r="E199" s="9" t="s">
        <v>409</v>
      </c>
      <c r="F199" s="83" t="s">
        <v>786</v>
      </c>
      <c r="G199" s="83"/>
    </row>
    <row r="200" spans="1:7" s="205" customFormat="1" ht="15.75" customHeight="1">
      <c r="A200" s="8" t="str">
        <f ca="1">CELL("address",'Order form'!Q86)</f>
        <v>'[OMEGA F_order form 09_19.xlsm]Order form'!$Q$86</v>
      </c>
      <c r="B200" s="10" t="s">
        <v>241</v>
      </c>
      <c r="C200" s="42" t="s">
        <v>122</v>
      </c>
      <c r="D200" s="9" t="s">
        <v>198</v>
      </c>
      <c r="E200" s="9" t="s">
        <v>410</v>
      </c>
      <c r="F200" s="83" t="s">
        <v>122</v>
      </c>
      <c r="G200" s="83"/>
    </row>
    <row r="201" spans="1:7" s="205" customFormat="1" ht="15.75" customHeight="1">
      <c r="A201" s="8" t="str">
        <f ca="1">CELL("address",'Order form'!Q86)</f>
        <v>'[OMEGA F_order form 09_19.xlsm]Order form'!$Q$86</v>
      </c>
      <c r="B201" s="10" t="s">
        <v>241</v>
      </c>
      <c r="C201" s="9" t="s">
        <v>123</v>
      </c>
      <c r="D201" s="9" t="s">
        <v>197</v>
      </c>
      <c r="E201" s="9" t="s">
        <v>409</v>
      </c>
      <c r="F201" s="83" t="s">
        <v>786</v>
      </c>
      <c r="G201" s="83"/>
    </row>
    <row r="202" spans="1:7" ht="15.75" customHeight="1">
      <c r="A202" s="8" t="str">
        <f ca="1">CELL("address",'Order form'!B89)</f>
        <v>'[OMEGA F_order form 09_19.xlsm]Order form'!$B$89</v>
      </c>
      <c r="B202" s="8" t="s">
        <v>213</v>
      </c>
      <c r="C202" s="8" t="s">
        <v>11</v>
      </c>
      <c r="D202" s="44" t="s">
        <v>621</v>
      </c>
      <c r="E202" s="44" t="s">
        <v>625</v>
      </c>
      <c r="F202" s="83" t="s">
        <v>813</v>
      </c>
      <c r="G202" s="83"/>
    </row>
    <row r="203" spans="1:7" ht="15.75" customHeight="1">
      <c r="A203" s="8" t="str">
        <f ca="1">CELL("address",'Order form'!B90)</f>
        <v>'[OMEGA F_order form 09_19.xlsm]Order form'!$B$90</v>
      </c>
      <c r="B203" s="8" t="s">
        <v>213</v>
      </c>
      <c r="C203" s="8" t="s">
        <v>554</v>
      </c>
      <c r="D203" s="44" t="s">
        <v>622</v>
      </c>
      <c r="E203" s="44" t="s">
        <v>626</v>
      </c>
      <c r="F203" s="83" t="s">
        <v>814</v>
      </c>
      <c r="G203" s="83"/>
    </row>
    <row r="204" spans="1:7" s="205" customFormat="1" ht="15.75" customHeight="1">
      <c r="A204" s="8" t="str">
        <f ca="1">CELL("address",'Order form'!B91)</f>
        <v>'[OMEGA F_order form 09_19.xlsm]Order form'!$B$91</v>
      </c>
      <c r="B204" s="8" t="s">
        <v>213</v>
      </c>
      <c r="C204" s="210" t="s">
        <v>1005</v>
      </c>
      <c r="D204" s="203" t="s">
        <v>1006</v>
      </c>
      <c r="E204" s="205" t="s">
        <v>1007</v>
      </c>
      <c r="F204" s="205" t="s">
        <v>1008</v>
      </c>
      <c r="G204" s="83"/>
    </row>
    <row r="205" spans="1:7" ht="15.75" customHeight="1">
      <c r="A205" s="8" t="str">
        <f ca="1">CELL("address",'Order form'!B92)</f>
        <v>'[OMEGA F_order form 09_19.xlsm]Order form'!$B$92</v>
      </c>
      <c r="B205" s="8" t="s">
        <v>213</v>
      </c>
      <c r="C205" s="101" t="s">
        <v>885</v>
      </c>
      <c r="D205" s="44" t="s">
        <v>623</v>
      </c>
      <c r="E205" s="44" t="s">
        <v>20</v>
      </c>
      <c r="F205" s="101" t="s">
        <v>869</v>
      </c>
      <c r="G205" s="83"/>
    </row>
    <row r="206" spans="1:7" ht="15.75" customHeight="1">
      <c r="A206" s="8" t="str">
        <f ca="1">CELL("address",'Order form'!B93)</f>
        <v>'[OMEGA F_order form 09_19.xlsm]Order form'!$B$93</v>
      </c>
      <c r="B206" s="8" t="s">
        <v>213</v>
      </c>
      <c r="C206" s="8" t="s">
        <v>555</v>
      </c>
      <c r="D206" s="44" t="s">
        <v>624</v>
      </c>
      <c r="E206" s="44" t="s">
        <v>627</v>
      </c>
      <c r="F206" s="83" t="s">
        <v>815</v>
      </c>
      <c r="G206" s="83"/>
    </row>
    <row r="207" spans="1:7" ht="15.75" customHeight="1">
      <c r="A207" s="8" t="str">
        <f ca="1">CELL("address",'Order form'!Q90)</f>
        <v>'[OMEGA F_order form 09_19.xlsm]Order form'!$Q$90</v>
      </c>
      <c r="B207" s="10" t="s">
        <v>241</v>
      </c>
      <c r="C207" s="43" t="s">
        <v>103</v>
      </c>
      <c r="D207" s="43" t="s">
        <v>155</v>
      </c>
      <c r="E207" s="43" t="s">
        <v>103</v>
      </c>
      <c r="F207" s="83" t="s">
        <v>816</v>
      </c>
      <c r="G207" s="83"/>
    </row>
    <row r="208" spans="1:7" ht="15.75" customHeight="1">
      <c r="A208" s="8" t="str">
        <f ca="1">CELL("address",'Order form'!Q90)</f>
        <v>'[OMEGA F_order form 09_19.xlsm]Order form'!$Q$90</v>
      </c>
      <c r="B208" s="10" t="s">
        <v>241</v>
      </c>
      <c r="C208" s="214" t="s">
        <v>559</v>
      </c>
      <c r="D208" s="44" t="s">
        <v>646</v>
      </c>
      <c r="E208" s="44" t="s">
        <v>645</v>
      </c>
      <c r="F208" s="83" t="s">
        <v>817</v>
      </c>
      <c r="G208" s="83"/>
    </row>
    <row r="209" spans="1:7" ht="15.75" customHeight="1">
      <c r="A209" s="8" t="str">
        <f ca="1">CELL("address",'Order form'!Q90)</f>
        <v>'[OMEGA F_order form 09_19.xlsm]Order form'!$Q$90</v>
      </c>
      <c r="B209" s="10" t="s">
        <v>241</v>
      </c>
      <c r="C209" s="44" t="s">
        <v>557</v>
      </c>
      <c r="D209" s="44" t="s">
        <v>557</v>
      </c>
      <c r="E209" s="44" t="s">
        <v>557</v>
      </c>
      <c r="F209" s="44" t="s">
        <v>557</v>
      </c>
      <c r="G209" s="83"/>
    </row>
    <row r="210" spans="1:7" ht="15.75" customHeight="1">
      <c r="A210" s="8" t="str">
        <f ca="1">CELL("address",'Order form'!Q90)</f>
        <v>'[OMEGA F_order form 09_19.xlsm]Order form'!$Q$90</v>
      </c>
      <c r="B210" s="10" t="s">
        <v>241</v>
      </c>
      <c r="C210" s="214" t="s">
        <v>649</v>
      </c>
      <c r="D210" s="44" t="s">
        <v>647</v>
      </c>
      <c r="E210" s="44" t="s">
        <v>648</v>
      </c>
      <c r="F210" t="s">
        <v>649</v>
      </c>
      <c r="G210" s="83"/>
    </row>
    <row r="211" spans="1:7" ht="15.75" customHeight="1">
      <c r="A211" s="8" t="str">
        <f ca="1">CELL("address",'Order form'!Q90)</f>
        <v>'[OMEGA F_order form 09_19.xlsm]Order form'!$Q$90</v>
      </c>
      <c r="B211" s="10" t="s">
        <v>241</v>
      </c>
      <c r="C211" s="222" t="s">
        <v>1030</v>
      </c>
      <c r="D211" s="222" t="s">
        <v>1031</v>
      </c>
      <c r="E211" s="222" t="s">
        <v>1032</v>
      </c>
      <c r="F211" t="s">
        <v>1033</v>
      </c>
      <c r="G211" s="83"/>
    </row>
    <row r="212" spans="1:7" s="205" customFormat="1" ht="15.75" customHeight="1">
      <c r="A212" s="8" t="str">
        <f ca="1">CELL("address",'Order form'!Q90)</f>
        <v>'[OMEGA F_order form 09_19.xlsm]Order form'!$Q$90</v>
      </c>
      <c r="B212" s="10" t="s">
        <v>241</v>
      </c>
      <c r="C212" s="222" t="s">
        <v>1034</v>
      </c>
      <c r="D212" s="222" t="s">
        <v>1035</v>
      </c>
      <c r="E212" s="222" t="s">
        <v>1036</v>
      </c>
      <c r="F212" s="205" t="s">
        <v>1037</v>
      </c>
      <c r="G212" s="83"/>
    </row>
    <row r="213" spans="1:7" s="205" customFormat="1" ht="15.75" customHeight="1">
      <c r="A213" s="8" t="str">
        <f ca="1">CELL("address",'Order form'!Q91)</f>
        <v>'[OMEGA F_order form 09_19.xlsm]Order form'!$Q$91</v>
      </c>
      <c r="B213" s="10" t="s">
        <v>241</v>
      </c>
      <c r="C213" s="43" t="s">
        <v>103</v>
      </c>
      <c r="D213" s="43" t="s">
        <v>155</v>
      </c>
      <c r="E213" s="43" t="s">
        <v>103</v>
      </c>
      <c r="F213" s="83" t="s">
        <v>816</v>
      </c>
      <c r="G213" s="83"/>
    </row>
    <row r="214" spans="1:7" s="205" customFormat="1" ht="15.75" customHeight="1">
      <c r="A214" s="8" t="str">
        <f ca="1">CELL("address",'Order form'!Q91)</f>
        <v>'[OMEGA F_order form 09_19.xlsm]Order form'!$Q$91</v>
      </c>
      <c r="B214" s="10" t="s">
        <v>241</v>
      </c>
      <c r="C214" s="214" t="s">
        <v>559</v>
      </c>
      <c r="D214" s="44" t="s">
        <v>646</v>
      </c>
      <c r="E214" s="44" t="s">
        <v>645</v>
      </c>
      <c r="F214" s="83" t="s">
        <v>817</v>
      </c>
      <c r="G214" s="83"/>
    </row>
    <row r="215" spans="1:7" s="205" customFormat="1" ht="15.75" customHeight="1">
      <c r="A215" s="8" t="str">
        <f ca="1">CELL("address",'Order form'!Q91)</f>
        <v>'[OMEGA F_order form 09_19.xlsm]Order form'!$Q$91</v>
      </c>
      <c r="B215" s="10" t="s">
        <v>241</v>
      </c>
      <c r="C215" s="44" t="s">
        <v>557</v>
      </c>
      <c r="D215" s="44" t="s">
        <v>557</v>
      </c>
      <c r="E215" s="44" t="s">
        <v>557</v>
      </c>
      <c r="F215" s="44" t="s">
        <v>557</v>
      </c>
      <c r="G215" s="83"/>
    </row>
    <row r="216" spans="1:7" s="205" customFormat="1" ht="15.75" customHeight="1">
      <c r="A216" s="8" t="str">
        <f ca="1">CELL("address",'Order form'!Q91)</f>
        <v>'[OMEGA F_order form 09_19.xlsm]Order form'!$Q$91</v>
      </c>
      <c r="B216" s="10" t="s">
        <v>241</v>
      </c>
      <c r="C216" s="214" t="s">
        <v>649</v>
      </c>
      <c r="D216" s="44" t="s">
        <v>647</v>
      </c>
      <c r="E216" s="44" t="s">
        <v>648</v>
      </c>
      <c r="F216" s="205" t="s">
        <v>649</v>
      </c>
      <c r="G216" s="83"/>
    </row>
    <row r="217" spans="1:7" ht="15.75" customHeight="1">
      <c r="A217" s="8" t="str">
        <f ca="1">CELL("address",'Order form'!Q92)</f>
        <v>'[OMEGA F_order form 09_19.xlsm]Order form'!$Q$92</v>
      </c>
      <c r="B217" s="10" t="s">
        <v>241</v>
      </c>
      <c r="C217" s="43" t="s">
        <v>103</v>
      </c>
      <c r="D217" s="43" t="s">
        <v>155</v>
      </c>
      <c r="E217" s="43" t="s">
        <v>103</v>
      </c>
      <c r="F217" s="83" t="s">
        <v>816</v>
      </c>
      <c r="G217" s="83"/>
    </row>
    <row r="218" spans="1:7" ht="15.75" customHeight="1">
      <c r="A218" s="8" t="str">
        <f ca="1">CELL("address",'Order form'!Q92)</f>
        <v>'[OMEGA F_order form 09_19.xlsm]Order form'!$Q$92</v>
      </c>
      <c r="B218" s="10" t="s">
        <v>241</v>
      </c>
      <c r="C218" s="214" t="s">
        <v>1023</v>
      </c>
      <c r="D218" s="249" t="s">
        <v>1068</v>
      </c>
      <c r="E218" s="214" t="s">
        <v>1027</v>
      </c>
      <c r="F218" s="215" t="s">
        <v>1028</v>
      </c>
      <c r="G218" s="83"/>
    </row>
    <row r="219" spans="1:7" ht="15.75" customHeight="1">
      <c r="A219" s="8" t="str">
        <f ca="1">CELL("address",'Order form'!Q92)</f>
        <v>'[OMEGA F_order form 09_19.xlsm]Order form'!$Q$92</v>
      </c>
      <c r="B219" s="10" t="s">
        <v>241</v>
      </c>
      <c r="C219" s="44" t="s">
        <v>557</v>
      </c>
      <c r="D219" s="44" t="s">
        <v>557</v>
      </c>
      <c r="E219" s="44" t="s">
        <v>557</v>
      </c>
      <c r="F219" s="44" t="s">
        <v>557</v>
      </c>
      <c r="G219" s="83"/>
    </row>
    <row r="220" spans="1:7" ht="15.75" customHeight="1">
      <c r="A220" s="8"/>
      <c r="B220" s="10"/>
      <c r="C220" s="214"/>
      <c r="D220" s="91"/>
      <c r="E220" s="91"/>
      <c r="G220" s="83"/>
    </row>
    <row r="221" spans="1:7" ht="15.75" customHeight="1">
      <c r="A221" s="8" t="str">
        <f ca="1">CELL("address",'Order form'!Q92)</f>
        <v>'[OMEGA F_order form 09_19.xlsm]Order form'!$Q$92</v>
      </c>
      <c r="B221" s="10" t="s">
        <v>241</v>
      </c>
      <c r="C221" s="44" t="s">
        <v>558</v>
      </c>
      <c r="D221" s="44" t="s">
        <v>628</v>
      </c>
      <c r="E221" s="44" t="s">
        <v>629</v>
      </c>
      <c r="F221" s="83" t="s">
        <v>818</v>
      </c>
      <c r="G221" s="83"/>
    </row>
    <row r="222" spans="1:7" ht="15.75" customHeight="1">
      <c r="A222" s="8" t="str">
        <f ca="1">CELL("address",'Order form'!Q92)</f>
        <v>'[OMEGA F_order form 09_19.xlsm]Order form'!$Q$92</v>
      </c>
      <c r="B222" s="10" t="s">
        <v>241</v>
      </c>
      <c r="C222" s="201" t="s">
        <v>929</v>
      </c>
      <c r="D222" s="201" t="s">
        <v>930</v>
      </c>
      <c r="E222" s="201" t="s">
        <v>931</v>
      </c>
      <c r="F222" s="202" t="s">
        <v>932</v>
      </c>
      <c r="G222" s="83"/>
    </row>
    <row r="223" spans="1:7" ht="15.75" customHeight="1">
      <c r="A223" s="8" t="str">
        <f ca="1">CELL("address",'Order form'!Q93)</f>
        <v>'[OMEGA F_order form 09_19.xlsm]Order form'!$Q$93</v>
      </c>
      <c r="B223" s="10" t="s">
        <v>241</v>
      </c>
      <c r="C223" s="44" t="s">
        <v>556</v>
      </c>
      <c r="D223" s="44" t="s">
        <v>556</v>
      </c>
      <c r="E223" s="44" t="s">
        <v>556</v>
      </c>
      <c r="F223" s="83" t="s">
        <v>556</v>
      </c>
      <c r="G223" s="83"/>
    </row>
    <row r="224" spans="1:7" ht="15.75" customHeight="1">
      <c r="A224" s="8" t="str">
        <f ca="1">CELL("address",'Order form'!Q93)</f>
        <v>'[OMEGA F_order form 09_19.xlsm]Order form'!$Q$93</v>
      </c>
      <c r="B224" s="10" t="s">
        <v>241</v>
      </c>
      <c r="C224" s="44" t="s">
        <v>103</v>
      </c>
      <c r="D224" s="44" t="s">
        <v>155</v>
      </c>
      <c r="E224" s="44" t="s">
        <v>103</v>
      </c>
      <c r="F224" s="83" t="s">
        <v>816</v>
      </c>
      <c r="G224" s="83"/>
    </row>
    <row r="225" spans="1:7" ht="15.75" customHeight="1">
      <c r="A225" s="8" t="str">
        <f ca="1">CELL("address",'Order form'!Q93)</f>
        <v>'[OMEGA F_order form 09_19.xlsm]Order form'!$Q$93</v>
      </c>
      <c r="B225" s="10" t="s">
        <v>241</v>
      </c>
      <c r="C225" s="44" t="s">
        <v>557</v>
      </c>
      <c r="D225" s="44" t="s">
        <v>557</v>
      </c>
      <c r="E225" s="44" t="s">
        <v>557</v>
      </c>
      <c r="F225" s="44" t="s">
        <v>557</v>
      </c>
      <c r="G225" s="83"/>
    </row>
    <row r="226" spans="1:7" s="205" customFormat="1" ht="15.75" customHeight="1">
      <c r="A226" s="8" t="str">
        <f ca="1">CELL("address",'Order form'!Q93)</f>
        <v>'[OMEGA F_order form 09_19.xlsm]Order form'!$Q$93</v>
      </c>
      <c r="B226" s="10" t="s">
        <v>241</v>
      </c>
      <c r="C226" s="249" t="s">
        <v>1023</v>
      </c>
      <c r="D226" s="249" t="s">
        <v>1024</v>
      </c>
      <c r="E226" s="214" t="s">
        <v>1025</v>
      </c>
      <c r="F226" s="214" t="s">
        <v>1026</v>
      </c>
      <c r="G226" s="83"/>
    </row>
    <row r="227" spans="1:7" ht="15.75" customHeight="1">
      <c r="A227" s="8"/>
      <c r="B227" s="10"/>
      <c r="C227" s="214"/>
      <c r="D227" s="214"/>
      <c r="E227" s="214"/>
      <c r="F227" s="215"/>
      <c r="G227" s="83"/>
    </row>
    <row r="228" spans="1:7" ht="15.75" customHeight="1">
      <c r="A228" s="8"/>
      <c r="B228" s="10"/>
      <c r="C228" s="44"/>
      <c r="D228" s="44"/>
      <c r="E228" s="44"/>
      <c r="G228" s="83"/>
    </row>
    <row r="229" spans="1:7" ht="15.75" customHeight="1">
      <c r="A229" s="8" t="str">
        <f ca="1">CELL("address",'Order form'!Q93)</f>
        <v>'[OMEGA F_order form 09_19.xlsm]Order form'!$Q$93</v>
      </c>
      <c r="B229" s="10" t="s">
        <v>241</v>
      </c>
      <c r="C229" s="44" t="s">
        <v>558</v>
      </c>
      <c r="D229" s="44" t="s">
        <v>628</v>
      </c>
      <c r="E229" s="44" t="s">
        <v>629</v>
      </c>
      <c r="F229" s="83" t="s">
        <v>818</v>
      </c>
      <c r="G229" s="83"/>
    </row>
    <row r="230" spans="1:7" ht="15.75" customHeight="1">
      <c r="A230" s="8" t="str">
        <f ca="1">CELL("address",'Order form'!Q93)</f>
        <v>'[OMEGA F_order form 09_19.xlsm]Order form'!$Q$93</v>
      </c>
      <c r="B230" s="10" t="s">
        <v>241</v>
      </c>
      <c r="C230" s="201" t="s">
        <v>929</v>
      </c>
      <c r="D230" s="201" t="s">
        <v>930</v>
      </c>
      <c r="E230" s="201" t="s">
        <v>931</v>
      </c>
      <c r="F230" s="202" t="s">
        <v>932</v>
      </c>
      <c r="G230" s="83"/>
    </row>
    <row r="231" spans="1:7" ht="15.75" customHeight="1">
      <c r="A231" s="8" t="str">
        <f ca="1">CELL("address",'Order form'!B95)</f>
        <v>'[OMEGA F_order form 09_19.xlsm]Order form'!$B$95</v>
      </c>
      <c r="B231" s="10" t="s">
        <v>213</v>
      </c>
      <c r="C231" s="44" t="s">
        <v>12</v>
      </c>
      <c r="D231" s="9" t="s">
        <v>178</v>
      </c>
      <c r="E231" s="11" t="s">
        <v>465</v>
      </c>
      <c r="F231" s="83" t="s">
        <v>819</v>
      </c>
      <c r="G231" s="83"/>
    </row>
    <row r="232" spans="1:7" ht="15.75" customHeight="1">
      <c r="A232" s="8" t="str">
        <f ca="1">CELL("address",'Order form'!B96)</f>
        <v>'[OMEGA F_order form 09_19.xlsm]Order form'!$B$96</v>
      </c>
      <c r="B232" s="10" t="s">
        <v>213</v>
      </c>
      <c r="C232" s="44" t="s">
        <v>14</v>
      </c>
      <c r="D232" s="9" t="s">
        <v>179</v>
      </c>
      <c r="E232" s="11" t="s">
        <v>466</v>
      </c>
      <c r="F232" t="s">
        <v>870</v>
      </c>
      <c r="G232" s="83"/>
    </row>
    <row r="233" spans="1:7" ht="15.75" customHeight="1">
      <c r="A233" s="8" t="str">
        <f ca="1">CELL("address",'Order form'!B97)</f>
        <v>'[OMEGA F_order form 09_19.xlsm]Order form'!$B$97</v>
      </c>
      <c r="B233" s="10" t="s">
        <v>213</v>
      </c>
      <c r="C233" s="44" t="s">
        <v>560</v>
      </c>
      <c r="D233" s="44" t="s">
        <v>563</v>
      </c>
      <c r="E233" s="11" t="s">
        <v>630</v>
      </c>
      <c r="F233" t="s">
        <v>871</v>
      </c>
      <c r="G233" s="83"/>
    </row>
    <row r="234" spans="1:7" ht="15.75" customHeight="1">
      <c r="A234" s="8" t="str">
        <f ca="1">CELL("address",'Order form'!B98)</f>
        <v>'[OMEGA F_order form 09_19.xlsm]Order form'!$B$98</v>
      </c>
      <c r="B234" s="10" t="s">
        <v>213</v>
      </c>
      <c r="C234" s="44" t="s">
        <v>561</v>
      </c>
      <c r="D234" s="44" t="s">
        <v>564</v>
      </c>
      <c r="E234" s="11" t="s">
        <v>631</v>
      </c>
      <c r="F234" t="s">
        <v>872</v>
      </c>
      <c r="G234" s="83"/>
    </row>
    <row r="235" spans="1:7" s="205" customFormat="1" ht="15.75" customHeight="1">
      <c r="A235" s="8" t="str">
        <f ca="1">CELL("address",'Order form'!B99)</f>
        <v>'[OMEGA F_order form 09_19.xlsm]Order form'!$B$99</v>
      </c>
      <c r="B235" s="10" t="s">
        <v>213</v>
      </c>
      <c r="C235" s="44" t="s">
        <v>1009</v>
      </c>
      <c r="D235" s="203" t="s">
        <v>1010</v>
      </c>
      <c r="E235" s="11" t="s">
        <v>1012</v>
      </c>
      <c r="F235" s="205" t="s">
        <v>1011</v>
      </c>
      <c r="G235" s="83"/>
    </row>
    <row r="236" spans="1:7" ht="15.75" customHeight="1">
      <c r="A236" s="8" t="str">
        <f ca="1">CELL("address",'Order form'!B100)</f>
        <v>'[OMEGA F_order form 09_19.xlsm]Order form'!$B$100</v>
      </c>
      <c r="B236" s="10" t="s">
        <v>213</v>
      </c>
      <c r="C236" s="44" t="s">
        <v>562</v>
      </c>
      <c r="D236" s="44" t="s">
        <v>562</v>
      </c>
      <c r="E236" s="44" t="s">
        <v>562</v>
      </c>
      <c r="F236" s="83" t="s">
        <v>820</v>
      </c>
      <c r="G236" s="83"/>
    </row>
    <row r="237" spans="1:7" ht="15.75" customHeight="1">
      <c r="A237" s="8" t="str">
        <f ca="1">CELL("address",'Order form'!Q96)</f>
        <v>'[OMEGA F_order form 09_19.xlsm]Order form'!$Q$96</v>
      </c>
      <c r="B237" s="10" t="s">
        <v>241</v>
      </c>
      <c r="C237" s="100" t="s">
        <v>879</v>
      </c>
      <c r="D237" s="44" t="s">
        <v>182</v>
      </c>
      <c r="E237" s="11" t="s">
        <v>632</v>
      </c>
      <c r="F237" t="s">
        <v>873</v>
      </c>
      <c r="G237" s="83"/>
    </row>
    <row r="238" spans="1:7" ht="15.75" customHeight="1">
      <c r="A238" s="8" t="str">
        <f ca="1">CELL("address",'Order form'!Q96)</f>
        <v>'[OMEGA F_order form 09_19.xlsm]Order form'!$Q$96</v>
      </c>
      <c r="B238" s="10" t="s">
        <v>241</v>
      </c>
      <c r="C238" s="100" t="s">
        <v>880</v>
      </c>
      <c r="D238" s="44" t="s">
        <v>565</v>
      </c>
      <c r="E238" s="11" t="s">
        <v>633</v>
      </c>
      <c r="F238" t="s">
        <v>874</v>
      </c>
      <c r="G238" s="83"/>
    </row>
    <row r="239" spans="1:7" ht="15.75" customHeight="1">
      <c r="A239" s="8" t="str">
        <f ca="1">CELL("address",'Order form'!Q96)</f>
        <v>'[OMEGA F_order form 09_19.xlsm]Order form'!$Q$96</v>
      </c>
      <c r="B239" s="10" t="s">
        <v>241</v>
      </c>
      <c r="C239" s="100" t="s">
        <v>881</v>
      </c>
      <c r="D239" s="44" t="s">
        <v>566</v>
      </c>
      <c r="E239" s="11" t="s">
        <v>634</v>
      </c>
      <c r="F239" t="s">
        <v>875</v>
      </c>
      <c r="G239" s="83"/>
    </row>
    <row r="240" spans="1:7" ht="15.75" customHeight="1">
      <c r="A240" s="8" t="str">
        <f ca="1">CELL("address",'Order form'!Q97)</f>
        <v>'[OMEGA F_order form 09_19.xlsm]Order form'!$Q$97</v>
      </c>
      <c r="B240" s="10" t="s">
        <v>241</v>
      </c>
      <c r="C240" s="44" t="s">
        <v>556</v>
      </c>
      <c r="D240" s="44" t="s">
        <v>556</v>
      </c>
      <c r="E240" s="11" t="s">
        <v>556</v>
      </c>
      <c r="F240" s="83" t="s">
        <v>556</v>
      </c>
      <c r="G240" s="83"/>
    </row>
    <row r="241" spans="1:7" ht="15.75" customHeight="1">
      <c r="A241" s="8" t="str">
        <f ca="1">CELL("address",'Order form'!Q97)</f>
        <v>'[OMEGA F_order form 09_19.xlsm]Order form'!$Q$97</v>
      </c>
      <c r="B241" s="10" t="s">
        <v>241</v>
      </c>
      <c r="C241" s="100" t="s">
        <v>882</v>
      </c>
      <c r="D241" s="44" t="s">
        <v>635</v>
      </c>
      <c r="E241" s="11" t="s">
        <v>638</v>
      </c>
      <c r="F241" t="s">
        <v>876</v>
      </c>
      <c r="G241" s="83"/>
    </row>
    <row r="242" spans="1:7" ht="15.75" customHeight="1">
      <c r="A242" s="8" t="str">
        <f ca="1">CELL("address",'Order form'!Q97)</f>
        <v>'[OMEGA F_order form 09_19.xlsm]Order form'!$Q$97</v>
      </c>
      <c r="B242" s="10" t="s">
        <v>241</v>
      </c>
      <c r="C242" s="100" t="s">
        <v>883</v>
      </c>
      <c r="D242" s="44" t="s">
        <v>637</v>
      </c>
      <c r="E242" s="11" t="s">
        <v>639</v>
      </c>
      <c r="F242" t="s">
        <v>877</v>
      </c>
      <c r="G242" s="83"/>
    </row>
    <row r="243" spans="1:7" ht="15.75" customHeight="1">
      <c r="A243" s="8" t="str">
        <f ca="1">CELL("address",'Order form'!Q97)</f>
        <v>'[OMEGA F_order form 09_19.xlsm]Order form'!$Q$97</v>
      </c>
      <c r="B243" s="10" t="s">
        <v>241</v>
      </c>
      <c r="C243" s="100" t="s">
        <v>884</v>
      </c>
      <c r="D243" s="44" t="s">
        <v>636</v>
      </c>
      <c r="E243" s="11" t="s">
        <v>640</v>
      </c>
      <c r="F243" t="s">
        <v>878</v>
      </c>
      <c r="G243" s="83"/>
    </row>
    <row r="244" spans="1:7" ht="15.75" customHeight="1">
      <c r="A244" s="8" t="str">
        <f ca="1">CELL("address",'Order form'!Q98)</f>
        <v>'[OMEGA F_order form 09_19.xlsm]Order form'!$Q$98</v>
      </c>
      <c r="B244" s="10" t="s">
        <v>241</v>
      </c>
      <c r="C244" s="44" t="s">
        <v>556</v>
      </c>
      <c r="D244" s="44" t="s">
        <v>556</v>
      </c>
      <c r="E244" s="11" t="s">
        <v>556</v>
      </c>
      <c r="F244" s="83" t="s">
        <v>556</v>
      </c>
      <c r="G244" s="83"/>
    </row>
    <row r="245" spans="1:7" ht="15.75" customHeight="1">
      <c r="A245" s="8" t="str">
        <f ca="1">CELL("address",'Order form'!Q98)</f>
        <v>'[OMEGA F_order form 09_19.xlsm]Order form'!$Q$98</v>
      </c>
      <c r="B245" s="10" t="s">
        <v>241</v>
      </c>
      <c r="C245" s="44" t="s">
        <v>123</v>
      </c>
      <c r="D245" s="44" t="s">
        <v>197</v>
      </c>
      <c r="E245" s="11" t="s">
        <v>409</v>
      </c>
      <c r="F245" s="83" t="s">
        <v>786</v>
      </c>
      <c r="G245" s="83"/>
    </row>
    <row r="246" spans="1:7" ht="15.75" customHeight="1">
      <c r="A246" s="8" t="str">
        <f ca="1">CELL("address",'Order form'!Q98)</f>
        <v>'[OMEGA F_order form 09_19.xlsm]Order form'!$Q$98</v>
      </c>
      <c r="B246" s="10" t="s">
        <v>241</v>
      </c>
      <c r="C246" s="44" t="s">
        <v>122</v>
      </c>
      <c r="D246" s="44" t="s">
        <v>198</v>
      </c>
      <c r="E246" s="11" t="s">
        <v>410</v>
      </c>
      <c r="F246" s="83" t="s">
        <v>122</v>
      </c>
      <c r="G246" s="83"/>
    </row>
    <row r="247" spans="1:7" s="205" customFormat="1" ht="15.75" customHeight="1">
      <c r="A247" s="8" t="str">
        <f ca="1">CELL("address",'Order form'!Q99)</f>
        <v>'[OMEGA F_order form 09_19.xlsm]Order form'!$Q$99</v>
      </c>
      <c r="B247" s="10" t="s">
        <v>241</v>
      </c>
      <c r="C247" s="42" t="s">
        <v>122</v>
      </c>
      <c r="D247" s="9" t="s">
        <v>198</v>
      </c>
      <c r="E247" s="9" t="s">
        <v>410</v>
      </c>
      <c r="F247" s="83" t="s">
        <v>122</v>
      </c>
      <c r="G247" s="83"/>
    </row>
    <row r="248" spans="1:7" s="205" customFormat="1" ht="15.75" customHeight="1">
      <c r="A248" s="8" t="str">
        <f ca="1">CELL("address",'Order form'!Q99)</f>
        <v>'[OMEGA F_order form 09_19.xlsm]Order form'!$Q$99</v>
      </c>
      <c r="B248" s="10" t="s">
        <v>241</v>
      </c>
      <c r="C248" s="9" t="s">
        <v>123</v>
      </c>
      <c r="D248" s="9" t="s">
        <v>197</v>
      </c>
      <c r="E248" s="9" t="s">
        <v>409</v>
      </c>
      <c r="F248" s="83" t="s">
        <v>786</v>
      </c>
      <c r="G248" s="83"/>
    </row>
    <row r="249" spans="1:7" ht="15.75" customHeight="1">
      <c r="A249" s="8" t="str">
        <f ca="1">CELL("address",'Order form'!Q100)</f>
        <v>'[OMEGA F_order form 09_19.xlsm]Order form'!$Q$100</v>
      </c>
      <c r="B249" s="10" t="s">
        <v>241</v>
      </c>
      <c r="C249" s="44" t="s">
        <v>567</v>
      </c>
      <c r="D249" s="44" t="s">
        <v>641</v>
      </c>
      <c r="E249" s="44" t="s">
        <v>567</v>
      </c>
      <c r="F249" s="83" t="s">
        <v>821</v>
      </c>
      <c r="G249" s="83"/>
    </row>
    <row r="250" spans="1:7" ht="15.75" customHeight="1">
      <c r="A250" s="8" t="str">
        <f ca="1">CELL("address",'Order form'!Q100)</f>
        <v>'[OMEGA F_order form 09_19.xlsm]Order form'!$Q$100</v>
      </c>
      <c r="B250" s="10" t="s">
        <v>241</v>
      </c>
      <c r="C250" s="44" t="s">
        <v>568</v>
      </c>
      <c r="D250" s="44" t="s">
        <v>642</v>
      </c>
      <c r="E250" s="44" t="s">
        <v>568</v>
      </c>
      <c r="F250" s="83" t="s">
        <v>822</v>
      </c>
      <c r="G250" s="83"/>
    </row>
    <row r="251" spans="1:7" ht="15.75" customHeight="1">
      <c r="A251" s="8" t="str">
        <f ca="1">CELL("address",'Order form'!Q100)</f>
        <v>'[OMEGA F_order form 09_19.xlsm]Order form'!$Q$100</v>
      </c>
      <c r="B251" s="10" t="s">
        <v>241</v>
      </c>
      <c r="C251" s="44" t="s">
        <v>569</v>
      </c>
      <c r="D251" s="44" t="s">
        <v>643</v>
      </c>
      <c r="E251" s="44" t="s">
        <v>569</v>
      </c>
      <c r="F251" s="83" t="s">
        <v>823</v>
      </c>
      <c r="G251" s="83"/>
    </row>
    <row r="252" spans="1:7" ht="15.75" customHeight="1">
      <c r="A252" s="8" t="str">
        <f ca="1">CELL("address",'Order form'!Q100)</f>
        <v>'[OMEGA F_order form 09_19.xlsm]Order form'!$Q$100</v>
      </c>
      <c r="B252" s="10" t="s">
        <v>241</v>
      </c>
      <c r="C252" s="44" t="s">
        <v>570</v>
      </c>
      <c r="D252" s="44" t="s">
        <v>644</v>
      </c>
      <c r="E252" s="44" t="s">
        <v>570</v>
      </c>
      <c r="F252" s="83" t="s">
        <v>824</v>
      </c>
      <c r="G252" s="83"/>
    </row>
    <row r="253" spans="1:7" ht="15.75" customHeight="1">
      <c r="A253" s="8" t="str">
        <f ca="1">CELL("address",'Order form'!B104)</f>
        <v>'[OMEGA F_order form 09_19.xlsm]Order form'!$B$104</v>
      </c>
      <c r="B253" s="10" t="s">
        <v>213</v>
      </c>
      <c r="C253" s="9" t="s">
        <v>13</v>
      </c>
      <c r="D253" s="9" t="s">
        <v>183</v>
      </c>
      <c r="E253" s="11" t="s">
        <v>467</v>
      </c>
      <c r="F253" s="83" t="s">
        <v>825</v>
      </c>
      <c r="G253" s="83"/>
    </row>
    <row r="254" spans="1:7" ht="15.75" customHeight="1">
      <c r="A254" s="8" t="str">
        <f ca="1">CELL("address",'Order form'!B113)</f>
        <v>'[OMEGA F_order form 09_19.xlsm]Order form'!$B$113</v>
      </c>
      <c r="B254" s="10" t="s">
        <v>213</v>
      </c>
      <c r="C254" s="9" t="s">
        <v>56</v>
      </c>
      <c r="D254" s="41" t="s">
        <v>476</v>
      </c>
      <c r="E254" s="11" t="s">
        <v>468</v>
      </c>
      <c r="F254" s="83" t="s">
        <v>826</v>
      </c>
      <c r="G254" s="83"/>
    </row>
    <row r="255" spans="1:7" ht="15.75" customHeight="1">
      <c r="A255" s="8" t="str">
        <f ca="1">CELL("address",'Order form'!V113)</f>
        <v>'[OMEGA F_order form 09_19.xlsm]Order form'!$V$113</v>
      </c>
      <c r="B255" s="10" t="s">
        <v>213</v>
      </c>
      <c r="C255" s="9" t="s">
        <v>57</v>
      </c>
      <c r="D255" s="44" t="s">
        <v>571</v>
      </c>
      <c r="E255" s="11" t="s">
        <v>469</v>
      </c>
      <c r="F255" s="83" t="s">
        <v>827</v>
      </c>
      <c r="G255" s="83"/>
    </row>
    <row r="256" spans="1:7" ht="15.75" customHeight="1">
      <c r="A256" s="8" t="str">
        <f ca="1">CELL("address",'Order form'!H113)</f>
        <v>'[OMEGA F_order form 09_19.xlsm]Order form'!$H$113</v>
      </c>
      <c r="B256" s="10" t="s">
        <v>213</v>
      </c>
      <c r="C256" s="9" t="s">
        <v>452</v>
      </c>
      <c r="D256" s="9" t="s">
        <v>453</v>
      </c>
      <c r="E256" s="41" t="s">
        <v>475</v>
      </c>
      <c r="F256" s="83" t="s">
        <v>828</v>
      </c>
      <c r="G256" s="83"/>
    </row>
    <row r="257" spans="1:7">
      <c r="A257" s="8" t="str">
        <f ca="1">CELL("address",'Order form'!AM90)</f>
        <v>'[OMEGA F_order form 09_19.xlsm]Order form'!$AM$90</v>
      </c>
      <c r="B257" s="8" t="s">
        <v>305</v>
      </c>
      <c r="C257" s="214" t="s">
        <v>1022</v>
      </c>
      <c r="D257" s="195" t="s">
        <v>918</v>
      </c>
      <c r="E257" s="195" t="s">
        <v>919</v>
      </c>
      <c r="F257" s="195" t="s">
        <v>920</v>
      </c>
      <c r="G257" s="83"/>
    </row>
    <row r="258" spans="1:7" s="205" customFormat="1">
      <c r="A258" s="8" t="str">
        <f ca="1">CELL("address",'Order form'!AM91)</f>
        <v>'[OMEGA F_order form 09_19.xlsm]Order form'!$AM$91</v>
      </c>
      <c r="B258" s="8" t="s">
        <v>305</v>
      </c>
      <c r="C258" s="214" t="s">
        <v>1022</v>
      </c>
      <c r="D258" s="195" t="s">
        <v>918</v>
      </c>
      <c r="E258" s="195" t="s">
        <v>919</v>
      </c>
      <c r="F258" s="195" t="s">
        <v>920</v>
      </c>
      <c r="G258" s="83"/>
    </row>
    <row r="259" spans="1:7">
      <c r="A259" s="8" t="str">
        <f ca="1">CELL("address",'Order form'!AM92)</f>
        <v>'[OMEGA F_order form 09_19.xlsm]Order form'!$AM$92</v>
      </c>
      <c r="B259" s="8" t="s">
        <v>305</v>
      </c>
      <c r="C259" s="214" t="s">
        <v>1022</v>
      </c>
      <c r="D259" s="195" t="s">
        <v>918</v>
      </c>
      <c r="E259" s="195" t="s">
        <v>919</v>
      </c>
      <c r="F259" s="195" t="s">
        <v>920</v>
      </c>
      <c r="G259" s="83"/>
    </row>
    <row r="260" spans="1:7">
      <c r="A260" s="8" t="str">
        <f ca="1">CELL("address",'Order form'!AM93)</f>
        <v>'[OMEGA F_order form 09_19.xlsm]Order form'!$AM$93</v>
      </c>
      <c r="B260" s="8" t="s">
        <v>305</v>
      </c>
      <c r="C260" s="214" t="s">
        <v>1022</v>
      </c>
      <c r="D260" s="195" t="s">
        <v>918</v>
      </c>
      <c r="E260" s="195" t="s">
        <v>919</v>
      </c>
      <c r="F260" s="195" t="s">
        <v>920</v>
      </c>
      <c r="G260" s="83"/>
    </row>
    <row r="261" spans="1:7">
      <c r="A261" s="8"/>
      <c r="B261" s="8"/>
      <c r="F261" s="83"/>
      <c r="G261" s="83"/>
    </row>
    <row r="262" spans="1:7">
      <c r="F262" s="83"/>
      <c r="G262" s="83"/>
    </row>
    <row r="263" spans="1:7">
      <c r="F263" s="83"/>
      <c r="G263" s="83"/>
    </row>
    <row r="264" spans="1:7">
      <c r="F264" s="83"/>
      <c r="G264" s="83"/>
    </row>
    <row r="265" spans="1:7">
      <c r="F265" s="83"/>
      <c r="G265" s="83"/>
    </row>
    <row r="266" spans="1:7">
      <c r="F266" s="83"/>
      <c r="G266" s="83"/>
    </row>
    <row r="267" spans="1:7">
      <c r="F267" s="83"/>
      <c r="G267" s="83"/>
    </row>
  </sheetData>
  <autoFilter ref="A1:E25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workbookViewId="0">
      <selection activeCell="C32" sqref="C32"/>
    </sheetView>
  </sheetViews>
  <sheetFormatPr baseColWidth="10" defaultColWidth="9.140625" defaultRowHeight="15"/>
  <sheetData>
    <row r="1" spans="1:2">
      <c r="A1" t="s">
        <v>128</v>
      </c>
      <c r="B1" s="8" t="s">
        <v>129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  <vt:lpstr>Nein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2019-03-26T10:52:15Z</cp:lastPrinted>
  <dcterms:created xsi:type="dcterms:W3CDTF">2014-04-24T06:04:09Z</dcterms:created>
  <dcterms:modified xsi:type="dcterms:W3CDTF">2019-09-12T09:16:31Z</dcterms:modified>
</cp:coreProperties>
</file>